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tabRatio="596" activeTab="0"/>
  </bookViews>
  <sheets>
    <sheet name="1 " sheetId="1" r:id="rId1"/>
    <sheet name=" 6t" sheetId="2" r:id="rId2"/>
    <sheet name="7t" sheetId="3" r:id="rId3"/>
    <sheet name="8t" sheetId="4" r:id="rId4"/>
    <sheet name="9t" sheetId="5" r:id="rId5"/>
    <sheet name="9at" sheetId="6" r:id="rId6"/>
    <sheet name=" 10 11t" sheetId="7" r:id="rId7"/>
    <sheet name=" 12 " sheetId="8" r:id="rId8"/>
    <sheet name=" 13" sheetId="9" r:id="rId9"/>
    <sheet name=" 14" sheetId="10" r:id="rId10"/>
    <sheet name=" 14 a " sheetId="11" r:id="rId11"/>
    <sheet name=" 15 " sheetId="12" r:id="rId12"/>
    <sheet name="15a 16 " sheetId="13" r:id="rId13"/>
    <sheet name="17 18 " sheetId="14" r:id="rId14"/>
    <sheet name="19 20" sheetId="15" r:id="rId15"/>
    <sheet name="21 22" sheetId="16" r:id="rId16"/>
    <sheet name=" 22a " sheetId="17" r:id="rId17"/>
    <sheet name=" 22b " sheetId="18" r:id="rId18"/>
    <sheet name=" 23a " sheetId="19" r:id="rId19"/>
    <sheet name="23 bt" sheetId="20" r:id="rId20"/>
    <sheet name=" 23c " sheetId="21" r:id="rId21"/>
    <sheet name=" 23d " sheetId="22" r:id="rId22"/>
    <sheet name=" 24 " sheetId="23" r:id="rId23"/>
    <sheet name=" 24b " sheetId="24" r:id="rId24"/>
    <sheet name="24 c " sheetId="25" r:id="rId25"/>
    <sheet name=" 26 " sheetId="26" r:id="rId26"/>
    <sheet name=" 27 t" sheetId="27" r:id="rId27"/>
    <sheet name="28a t" sheetId="28" r:id="rId28"/>
    <sheet name=" 28b-31t" sheetId="29" r:id="rId29"/>
    <sheet name="32 35 " sheetId="30" r:id="rId30"/>
    <sheet name=" 36" sheetId="31" r:id="rId31"/>
    <sheet name=" 37t " sheetId="32" r:id="rId32"/>
    <sheet name=" 38" sheetId="33" r:id="rId33"/>
    <sheet name=" 38b" sheetId="34" r:id="rId34"/>
    <sheet name=" 39" sheetId="35" r:id="rId35"/>
    <sheet name=" 40" sheetId="36" r:id="rId36"/>
    <sheet name="41" sheetId="37" r:id="rId37"/>
    <sheet name="42" sheetId="38" r:id="rId38"/>
    <sheet name=" 42a " sheetId="39" r:id="rId39"/>
    <sheet name=" 42b" sheetId="40" r:id="rId40"/>
    <sheet name="43" sheetId="41" r:id="rId41"/>
    <sheet name="44 45" sheetId="42" r:id="rId42"/>
    <sheet name="46" sheetId="43" r:id="rId43"/>
    <sheet name="47" sheetId="44" r:id="rId44"/>
    <sheet name="48 49" sheetId="45" r:id="rId45"/>
    <sheet name="Sheet1" sheetId="46" r:id="rId46"/>
  </sheets>
  <definedNames>
    <definedName name="c_">'19 20'!$M$13:$N$13</definedName>
    <definedName name="_xlnm.Print_Area" localSheetId="6">' 10 11t'!$A$1:$K$70</definedName>
    <definedName name="_xlnm.Print_Area" localSheetId="7">' 12 '!$A$1:$K$72</definedName>
    <definedName name="_xlnm.Print_Area" localSheetId="8">' 13'!$A$1:$K$67</definedName>
    <definedName name="_xlnm.Print_Area" localSheetId="9">' 14'!$A$1:$K$66</definedName>
    <definedName name="_xlnm.Print_Area" localSheetId="10">' 14 a '!$A$1:$K$66</definedName>
    <definedName name="_xlnm.Print_Area" localSheetId="11">' 15 '!$A$1:$Q$34</definedName>
    <definedName name="_xlnm.Print_Area" localSheetId="16">' 22a '!$A$1:$K$66</definedName>
    <definedName name="_xlnm.Print_Area" localSheetId="17">' 22b '!$A$1:$K$66</definedName>
    <definedName name="_xlnm.Print_Area" localSheetId="18">'23 bt'!$A$2:$E$34</definedName>
    <definedName name="_xlnm.Print_Area" localSheetId="20">' 23c '!$A$1:$G$32</definedName>
    <definedName name="_xlnm.Print_Area" localSheetId="21">' 23d '!$L$4:$P$16</definedName>
    <definedName name="_xlnm.Print_Area" localSheetId="22">' 24 '!$A$1:$E$34</definedName>
    <definedName name="_xlnm.Print_Area" localSheetId="23">' 24b '!$A$1:$N$69</definedName>
    <definedName name="_xlnm.Print_Area" localSheetId="25">' 26 '!$A$1:$H$74</definedName>
    <definedName name="_xlnm.Print_Area" localSheetId="26">' 27 t'!$A$1:$K$35</definedName>
    <definedName name="_xlnm.Print_Area" localSheetId="28">' 28b-31t'!$A$38:$K$75</definedName>
    <definedName name="_xlnm.Print_Area" localSheetId="30">' 36'!$A$1:$M$55</definedName>
    <definedName name="_xlnm.Print_Area" localSheetId="31">' 37t '!$A$1:$Q$66</definedName>
    <definedName name="_xlnm.Print_Area" localSheetId="32">' 38'!$A$1:$E$51</definedName>
    <definedName name="_xlnm.Print_Area" localSheetId="33">' 38b'!$A$1:$E$31</definedName>
    <definedName name="_xlnm.Print_Area" localSheetId="34">' 39'!$A$1:$E$60</definedName>
    <definedName name="_xlnm.Print_Area" localSheetId="35">' 40'!$A$1:$M$28</definedName>
    <definedName name="_xlnm.Print_Area" localSheetId="38">' 42a '!$A$1:$E$91</definedName>
    <definedName name="_xlnm.Print_Area" localSheetId="39">' 42b'!$A$1:$E$87</definedName>
    <definedName name="_xlnm.Print_Area" localSheetId="1">' 6t'!$A$1:$E$44</definedName>
    <definedName name="_xlnm.Print_Area" localSheetId="0">'1 '!$A$1:$G$65</definedName>
    <definedName name="_xlnm.Print_Area" localSheetId="12">'15a 16 '!$A$1:$N$71</definedName>
    <definedName name="_xlnm.Print_Area" localSheetId="13">'17 18 '!$A$1:$K$71</definedName>
    <definedName name="_xlnm.Print_Area" localSheetId="14">'19 20'!$A$1:$K$70</definedName>
    <definedName name="_xlnm.Print_Area" localSheetId="19">'23 bt'!$A$2:$E$34</definedName>
    <definedName name="_xlnm.Print_Area" localSheetId="24">'24 c '!$A$72:$N$106</definedName>
    <definedName name="_xlnm.Print_Area" localSheetId="27">'28a t'!$A$2:$K$37</definedName>
    <definedName name="_xlnm.Print_Area" localSheetId="29">'32 35 '!$A$32:$L$72</definedName>
    <definedName name="_xlnm.Print_Area" localSheetId="36">'41'!$A$1:$E$40</definedName>
    <definedName name="_xlnm.Print_Area" localSheetId="37">'42'!$A$1:$E$99</definedName>
    <definedName name="_xlnm.Print_Area" localSheetId="40">'43'!$A$1:$E$39</definedName>
    <definedName name="_xlnm.Print_Area" localSheetId="41">'44 45'!$A$68:$E$103</definedName>
    <definedName name="_xlnm.Print_Area" localSheetId="42">'46'!$A$1:$E$54</definedName>
    <definedName name="_xlnm.Print_Area" localSheetId="43">'47'!$G$1:$K$73</definedName>
    <definedName name="_xlnm.Print_Area" localSheetId="44">'48 49'!$A$1:$B$57</definedName>
    <definedName name="_xlnm.Print_Area" localSheetId="2">'7t'!$A$1:$P$33</definedName>
    <definedName name="_xlnm.Print_Area" localSheetId="3">'8t'!$A$1:$K$67</definedName>
    <definedName name="_xlnm.Print_Area" localSheetId="5">'9at'!$A$1:$H$34</definedName>
    <definedName name="_xlnm.Print_Area" localSheetId="4">'9t'!$A$1:$K$72</definedName>
  </definedNames>
  <calcPr fullCalcOnLoad="1"/>
</workbook>
</file>

<file path=xl/sharedStrings.xml><?xml version="1.0" encoding="utf-8"?>
<sst xmlns="http://schemas.openxmlformats.org/spreadsheetml/2006/main" count="11304" uniqueCount="1766">
  <si>
    <t>Triple Seven</t>
  </si>
  <si>
    <t>X -Croplus</t>
  </si>
  <si>
    <t>Fosethyl  Aluminium  %85 WP</t>
  </si>
  <si>
    <t>Phosphone</t>
  </si>
  <si>
    <t>Fungusit</t>
  </si>
  <si>
    <t>Acrobat  MI WP</t>
  </si>
  <si>
    <t>Acsel  50 SC</t>
  </si>
  <si>
    <t>Alfosetil  80WP</t>
  </si>
  <si>
    <t xml:space="preserve">Ansar </t>
  </si>
  <si>
    <t>Antak</t>
  </si>
  <si>
    <t>Agrovit</t>
  </si>
  <si>
    <t xml:space="preserve">Azoxystrobin </t>
  </si>
  <si>
    <t>Bordeaux Caffaro</t>
  </si>
  <si>
    <t>Candit  WG</t>
  </si>
  <si>
    <t>Chlorothalonil</t>
  </si>
  <si>
    <t>Cupro İsagro</t>
  </si>
  <si>
    <t>Cupravit  OB 21</t>
  </si>
  <si>
    <t>Cuprocol</t>
  </si>
  <si>
    <t>Curzeb  50 WP</t>
  </si>
  <si>
    <t>Delan</t>
  </si>
  <si>
    <t>Dikotan M-45</t>
  </si>
  <si>
    <t>Dimethomorph+ Mancozeb</t>
  </si>
  <si>
    <t>Dinit 5 EC</t>
  </si>
  <si>
    <t>Dithane M22</t>
  </si>
  <si>
    <t>Folpet</t>
  </si>
  <si>
    <t>Fumazin M 45</t>
  </si>
  <si>
    <t xml:space="preserve">Hektaş Göztaşı </t>
  </si>
  <si>
    <t>İprodione</t>
  </si>
  <si>
    <t>Koruma  Bakır</t>
  </si>
  <si>
    <t>Kükürt ( Toz)</t>
  </si>
  <si>
    <t>Macal</t>
  </si>
  <si>
    <t>Manica Bordeaux Mixture</t>
  </si>
  <si>
    <t>Maycep M -45</t>
  </si>
  <si>
    <t>Mayneb M -22</t>
  </si>
  <si>
    <t>Melintos</t>
  </si>
  <si>
    <t>Methanyl  M</t>
  </si>
  <si>
    <t>Microthiol Special</t>
  </si>
  <si>
    <t>Minelate 50 WP</t>
  </si>
  <si>
    <t>Oxadixyl</t>
  </si>
  <si>
    <t>Paraconil</t>
  </si>
  <si>
    <t>Patamil  72 WP</t>
  </si>
  <si>
    <t>Plalex 50 WP</t>
  </si>
  <si>
    <t>Power  Sulphur</t>
  </si>
  <si>
    <t>Procurex  50  WP</t>
  </si>
  <si>
    <t>Proguard</t>
  </si>
  <si>
    <t>Propacur ' N SL</t>
  </si>
  <si>
    <t>Ridolin MZ 72 WP</t>
  </si>
  <si>
    <t>Rhythm</t>
  </si>
  <si>
    <t>Shamel</t>
  </si>
  <si>
    <t>Shavit</t>
  </si>
  <si>
    <t>Sulpur  80 WP</t>
  </si>
  <si>
    <t>Sumconil</t>
  </si>
  <si>
    <t>Supercozeb  M  45</t>
  </si>
  <si>
    <t>Systinil</t>
  </si>
  <si>
    <t>S. Power Powder</t>
  </si>
  <si>
    <t>Fluetex</t>
  </si>
  <si>
    <t>Superguard 10 EC</t>
  </si>
  <si>
    <t>Solfac</t>
  </si>
  <si>
    <t>Tebron</t>
  </si>
  <si>
    <t>Teknar Granül</t>
  </si>
  <si>
    <t>Haşare ilacı</t>
  </si>
  <si>
    <t xml:space="preserve">Metaldehyde %5 </t>
  </si>
  <si>
    <t>Afalon  Dispersion</t>
  </si>
  <si>
    <t>Buckstar</t>
  </si>
  <si>
    <t>Destroyer</t>
  </si>
  <si>
    <t>Efsane  70 WP</t>
  </si>
  <si>
    <t>Fer Tref</t>
  </si>
  <si>
    <t>Formula super</t>
  </si>
  <si>
    <t>Glyphosate</t>
  </si>
  <si>
    <t>Granstar 75 DF</t>
  </si>
  <si>
    <t>Kleenup 48 SL</t>
  </si>
  <si>
    <t>Knock - Down 48 SL</t>
  </si>
  <si>
    <t>Knock- Out</t>
  </si>
  <si>
    <t>Lexone 75 DF</t>
  </si>
  <si>
    <t>Metrubuzine</t>
  </si>
  <si>
    <t>Paraquat</t>
  </si>
  <si>
    <t>Soccer 20EC</t>
  </si>
  <si>
    <t>Treflan</t>
  </si>
  <si>
    <t>Tribenuron Methyl</t>
  </si>
  <si>
    <t>Uniquat</t>
  </si>
  <si>
    <t>İnsektisit</t>
  </si>
  <si>
    <t>Acetamiprid % 20</t>
  </si>
  <si>
    <t>Aekido</t>
  </si>
  <si>
    <t>Agrogor</t>
  </si>
  <si>
    <t>Akira 20 SP.</t>
  </si>
  <si>
    <t>Atagol</t>
  </si>
  <si>
    <t>Backen</t>
  </si>
  <si>
    <t>Chlorfluazuron</t>
  </si>
  <si>
    <t>Conmirid</t>
  </si>
  <si>
    <t>Coupon 90</t>
  </si>
  <si>
    <t>Declare  25  EC</t>
  </si>
  <si>
    <t xml:space="preserve">Dekagard  </t>
  </si>
  <si>
    <t>Didifos 55 EC   Lt</t>
  </si>
  <si>
    <t>Efedor</t>
  </si>
  <si>
    <t>Evakur</t>
  </si>
  <si>
    <t xml:space="preserve">Evisect </t>
  </si>
  <si>
    <t>Folidol M 360 EC</t>
  </si>
  <si>
    <t>Fosforin M   Lt</t>
  </si>
  <si>
    <t>Foray</t>
  </si>
  <si>
    <t xml:space="preserve">Goldplan 20 SP   </t>
  </si>
  <si>
    <t>Hekplan  20 SP</t>
  </si>
  <si>
    <t>Hekthion 50 EM Lt</t>
  </si>
  <si>
    <t>Hezudin 63 EM</t>
  </si>
  <si>
    <t>Hypnose</t>
  </si>
  <si>
    <t>İmidacloprid</t>
  </si>
  <si>
    <t>Jetsis 2,5 EC</t>
  </si>
  <si>
    <t xml:space="preserve">K Othrine  SC 50 </t>
  </si>
  <si>
    <t>K. Obiol EC</t>
  </si>
  <si>
    <t xml:space="preserve">Korumagor </t>
  </si>
  <si>
    <t xml:space="preserve">Lannate 90 </t>
  </si>
  <si>
    <t>Lanten</t>
  </si>
  <si>
    <t>Metomyl</t>
  </si>
  <si>
    <t>Mosplate</t>
  </si>
  <si>
    <t>Poligor</t>
  </si>
  <si>
    <t>Rootmax</t>
  </si>
  <si>
    <t xml:space="preserve">Supervin  SP </t>
  </si>
  <si>
    <t>Suprathion 40 EC Lt</t>
  </si>
  <si>
    <t>Surrender</t>
  </si>
  <si>
    <t>Best  Mekap 20 EC</t>
  </si>
  <si>
    <t>Condor</t>
  </si>
  <si>
    <t>DD 90  EC</t>
  </si>
  <si>
    <t>Oxamyl</t>
  </si>
  <si>
    <t>Rugby 10 G</t>
  </si>
  <si>
    <t>Bromadiolone</t>
  </si>
  <si>
    <t xml:space="preserve">Storm  4 </t>
  </si>
  <si>
    <t>Vitamin</t>
  </si>
  <si>
    <t>Macro Plant</t>
  </si>
  <si>
    <t>Macro  PTS</t>
  </si>
  <si>
    <t>Magnimax</t>
  </si>
  <si>
    <t>Cator</t>
  </si>
  <si>
    <t>Golden Wet</t>
  </si>
  <si>
    <t>Yapıştırıcı</t>
  </si>
  <si>
    <t>Dinotox</t>
  </si>
  <si>
    <t>Maximineralle</t>
  </si>
  <si>
    <t>Çeşitli Et ürünü</t>
  </si>
  <si>
    <t>Donmuş balık, deniz ve su ürünü</t>
  </si>
  <si>
    <t xml:space="preserve">    Zerdali -Kayısı - Apricots</t>
  </si>
  <si>
    <t xml:space="preserve">    Beyaz Üzüm-White Grapes</t>
  </si>
  <si>
    <t xml:space="preserve">    Siyah Üzüm- Black Grapes</t>
  </si>
  <si>
    <t xml:space="preserve">    Malaga- Malaga Grapes</t>
  </si>
  <si>
    <t>vet</t>
  </si>
  <si>
    <t>Ödenen Subvansiyonlar (TL)</t>
  </si>
  <si>
    <t xml:space="preserve">Paid Subsideis (TL) </t>
  </si>
  <si>
    <t xml:space="preserve">                                  Yulaf - Oat</t>
  </si>
  <si>
    <t xml:space="preserve">                                                                                                                                                                                Tablo 13.Yumru Bitkiler - Tuber Crops</t>
  </si>
  <si>
    <t>Yonca- Alfalfa</t>
  </si>
  <si>
    <t xml:space="preserve">          Kardinal-Cardinal Grapes</t>
  </si>
  <si>
    <t>Variety of meat products</t>
  </si>
  <si>
    <r>
      <t xml:space="preserve">İşlenmemiş - </t>
    </r>
    <r>
      <rPr>
        <i/>
        <sz val="14"/>
        <rFont val="Times New Roman TUR"/>
        <family val="0"/>
      </rPr>
      <t>Unprocessed</t>
    </r>
  </si>
  <si>
    <r>
      <t xml:space="preserve">I.sınıf - </t>
    </r>
    <r>
      <rPr>
        <i/>
        <sz val="14"/>
        <rFont val="Times New Roman TUR"/>
        <family val="0"/>
      </rPr>
      <t>I.class</t>
    </r>
  </si>
  <si>
    <r>
      <t xml:space="preserve">II sınıf - </t>
    </r>
    <r>
      <rPr>
        <i/>
        <sz val="14"/>
        <rFont val="Times New Roman TUR"/>
        <family val="0"/>
      </rPr>
      <t>II class</t>
    </r>
  </si>
  <si>
    <r>
      <t xml:space="preserve">II sınıf - </t>
    </r>
    <r>
      <rPr>
        <i/>
        <sz val="14"/>
        <rFont val="Times New Roman TUR"/>
        <family val="0"/>
      </rPr>
      <t>II. class</t>
    </r>
  </si>
  <si>
    <r>
      <t>Iskarta -</t>
    </r>
    <r>
      <rPr>
        <i/>
        <sz val="14"/>
        <rFont val="Times New Roman TUR"/>
        <family val="0"/>
      </rPr>
      <t xml:space="preserve"> Discart</t>
    </r>
  </si>
  <si>
    <r>
      <t>I.sınıf -</t>
    </r>
    <r>
      <rPr>
        <i/>
        <sz val="14"/>
        <rFont val="Times New Roman TUR"/>
        <family val="0"/>
      </rPr>
      <t xml:space="preserve"> I.class</t>
    </r>
  </si>
  <si>
    <r>
      <t xml:space="preserve">II sınıf - </t>
    </r>
    <r>
      <rPr>
        <i/>
        <sz val="14"/>
        <rFont val="Times New Roman TUR"/>
        <family val="0"/>
      </rPr>
      <t>II. Class</t>
    </r>
  </si>
  <si>
    <r>
      <t xml:space="preserve">Iskarta - </t>
    </r>
    <r>
      <rPr>
        <i/>
        <sz val="14"/>
        <rFont val="Times New Roman TUR"/>
        <family val="0"/>
      </rPr>
      <t>Discart</t>
    </r>
  </si>
  <si>
    <r>
      <t>I.s valensiya-</t>
    </r>
    <r>
      <rPr>
        <i/>
        <sz val="26"/>
        <rFont val="Times New Roman TUR"/>
        <family val="0"/>
      </rPr>
      <t>I.cl valencia</t>
    </r>
  </si>
  <si>
    <r>
      <t>II.s valensiya-</t>
    </r>
    <r>
      <rPr>
        <i/>
        <sz val="26"/>
        <rFont val="Times New Roman TUR"/>
        <family val="0"/>
      </rPr>
      <t>II.cl valencia</t>
    </r>
  </si>
  <si>
    <r>
      <t>ısk valensiya-D</t>
    </r>
    <r>
      <rPr>
        <i/>
        <sz val="26"/>
        <rFont val="Times New Roman TUR"/>
        <family val="0"/>
      </rPr>
      <t xml:space="preserve">is. valencia </t>
    </r>
  </si>
  <si>
    <r>
      <t xml:space="preserve">Valencia işlenmemiş- </t>
    </r>
    <r>
      <rPr>
        <i/>
        <sz val="26"/>
        <rFont val="Times New Roman TUR"/>
        <family val="0"/>
      </rPr>
      <t>Unprocesed valencia</t>
    </r>
  </si>
  <si>
    <r>
      <t xml:space="preserve">Yafa işlenmemiş- </t>
    </r>
    <r>
      <rPr>
        <i/>
        <sz val="26"/>
        <rFont val="Times New Roman TUR"/>
        <family val="0"/>
      </rPr>
      <t>Unprocessed shiamouti</t>
    </r>
  </si>
  <si>
    <r>
      <t>Limon işlenmemiş-</t>
    </r>
    <r>
      <rPr>
        <i/>
        <sz val="26"/>
        <rFont val="Times New Roman TUR"/>
        <family val="0"/>
      </rPr>
      <t>Unprocessed lemon</t>
    </r>
  </si>
  <si>
    <r>
      <t xml:space="preserve">Greyfurt işlenmemiş- </t>
    </r>
    <r>
      <rPr>
        <i/>
        <sz val="26"/>
        <rFont val="Times New Roman TUR"/>
        <family val="0"/>
      </rPr>
      <t>Unprocessed g/fruit</t>
    </r>
  </si>
  <si>
    <r>
      <t>Moldovya-</t>
    </r>
    <r>
      <rPr>
        <b/>
        <i/>
        <sz val="20"/>
        <rFont val="Times New Roman TUR"/>
        <family val="0"/>
      </rPr>
      <t>Moldova</t>
    </r>
  </si>
  <si>
    <t>Dut fidanı- Mulberry Plant</t>
  </si>
  <si>
    <t>Defne Fidanı- Bay Tree Plant</t>
  </si>
  <si>
    <t>Çam fidan-Pine Plant</t>
  </si>
  <si>
    <t>Iğde Fidanı  Ad.-Oleaster</t>
  </si>
  <si>
    <t>Ahududu Fidanı-Raspberry Plant</t>
  </si>
  <si>
    <t>Alabaş Fidesi- Kohlraby Plant</t>
  </si>
  <si>
    <r>
      <t xml:space="preserve">    4) Endüstriyel Bitkiler - </t>
    </r>
    <r>
      <rPr>
        <i/>
        <sz val="14"/>
        <rFont val="Times New Roman"/>
        <family val="1"/>
      </rPr>
      <t xml:space="preserve"> Industrial crops</t>
    </r>
  </si>
  <si>
    <r>
      <t xml:space="preserve">    6) Yumru Bitkiler - </t>
    </r>
    <r>
      <rPr>
        <i/>
        <sz val="14"/>
        <rFont val="Times New Roman"/>
        <family val="1"/>
      </rPr>
      <t>Tuber Crops</t>
    </r>
  </si>
  <si>
    <r>
      <t xml:space="preserve"> 14) Yumuşak Çekirdekli Meyveler -</t>
    </r>
    <r>
      <rPr>
        <i/>
        <sz val="14"/>
        <rFont val="Times New Roman"/>
        <family val="1"/>
      </rPr>
      <t xml:space="preserve"> Pome Fruits</t>
    </r>
  </si>
  <si>
    <r>
      <t xml:space="preserve"> 15) Taş Çekirdekli Meyveler - </t>
    </r>
    <r>
      <rPr>
        <i/>
        <sz val="14"/>
        <rFont val="Times New Roman"/>
        <family val="1"/>
      </rPr>
      <t>Stone Fruits</t>
    </r>
  </si>
  <si>
    <r>
      <t xml:space="preserve"> 18) Sera ve Tüneller - </t>
    </r>
    <r>
      <rPr>
        <i/>
        <sz val="14"/>
        <rFont val="Times New Roman"/>
        <family val="1"/>
      </rPr>
      <t>Greenhouses and Tunnels</t>
    </r>
  </si>
  <si>
    <t xml:space="preserve">Irrigated land </t>
  </si>
  <si>
    <r>
      <t xml:space="preserve"> 10) Baklagil Sebzeleri-</t>
    </r>
    <r>
      <rPr>
        <i/>
        <sz val="14"/>
        <rFont val="Times New Roman"/>
        <family val="1"/>
      </rPr>
      <t>Leguminosae Vegetables</t>
    </r>
  </si>
  <si>
    <t xml:space="preserve">Out of </t>
  </si>
  <si>
    <t xml:space="preserve"> Enginar-Artichokes</t>
  </si>
  <si>
    <r>
      <t xml:space="preserve"> </t>
    </r>
    <r>
      <rPr>
        <b/>
        <sz val="18"/>
        <rFont val="Times New Roman"/>
        <family val="1"/>
      </rPr>
      <t>a)Turunçgil Varlığı,Üretimi ve Verimi -</t>
    </r>
    <r>
      <rPr>
        <b/>
        <i/>
        <sz val="18"/>
        <rFont val="Times New Roman"/>
        <family val="1"/>
      </rPr>
      <t xml:space="preserve"> Citrus Area,Yields &amp; Productions</t>
    </r>
  </si>
  <si>
    <t>White Cheese</t>
  </si>
  <si>
    <t>Kaşar</t>
  </si>
  <si>
    <t>Hellim peyniri</t>
  </si>
  <si>
    <t>Halloumi cheese</t>
  </si>
  <si>
    <r>
      <t>Havuç-</t>
    </r>
    <r>
      <rPr>
        <i/>
        <sz val="18"/>
        <rFont val="Times New Roman"/>
        <family val="1"/>
      </rPr>
      <t>Carrots</t>
    </r>
  </si>
  <si>
    <t>Tablo 42. Kontrol yerlerine göre ithalatlar  (devam)- İmports by kontrol points (cont.)</t>
  </si>
  <si>
    <t>Bale(Wheat-Barley-Alfalfa)</t>
  </si>
  <si>
    <t>Bale (Cereals)</t>
  </si>
  <si>
    <t>Olive (Pickling brine)</t>
  </si>
  <si>
    <r>
      <t>Buğday(yemlik)</t>
    </r>
    <r>
      <rPr>
        <i/>
        <sz val="20"/>
        <rFont val="Times New Roman"/>
        <family val="1"/>
      </rPr>
      <t>-Wheat</t>
    </r>
  </si>
  <si>
    <r>
      <t>Buğday(ekmeklik)</t>
    </r>
    <r>
      <rPr>
        <i/>
        <sz val="20"/>
        <rFont val="Times New Roman"/>
        <family val="1"/>
      </rPr>
      <t>-Wheat</t>
    </r>
  </si>
  <si>
    <t>Mısır(patlayan)</t>
  </si>
  <si>
    <r>
      <t>Marul(iceberg)-</t>
    </r>
    <r>
      <rPr>
        <i/>
        <sz val="20"/>
        <rFont val="Times New Roman"/>
        <family val="1"/>
      </rPr>
      <t>Lettuce (iceberg)</t>
    </r>
  </si>
  <si>
    <t>Hurma (Taze, Cennet,Trabzon)</t>
  </si>
  <si>
    <t>Date (Fresh, Cennet, Trabzon)</t>
  </si>
  <si>
    <t>Avokado</t>
  </si>
  <si>
    <t>Avocado</t>
  </si>
  <si>
    <t>Çilek</t>
  </si>
  <si>
    <t>Strawberry</t>
  </si>
  <si>
    <r>
      <t>Kereviz-</t>
    </r>
    <r>
      <rPr>
        <i/>
        <sz val="20"/>
        <rFont val="Times New Roman"/>
        <family val="1"/>
      </rPr>
      <t>Celery</t>
    </r>
  </si>
  <si>
    <t>Kereviz(kök)</t>
  </si>
  <si>
    <t>b)Arazi Kullanımı (2009) - Use of Agricultural Land(2009).</t>
  </si>
  <si>
    <t>Tablo 6 . 2009 yılında zarar gören alanlar, üretici sayıları ve ödenen sübvansiyonlar</t>
  </si>
  <si>
    <t xml:space="preserve">                Area under losses, number of producers and paid subsidies by 2009 and natural disaster.</t>
  </si>
  <si>
    <t>Tablo 7. 2009 Yılı İtibarıyle Hayvancılığa Ödenen sübvansiyonlar</t>
  </si>
  <si>
    <t xml:space="preserve">               Paid Subsidies For Animal Hasbandry in 2009 </t>
  </si>
  <si>
    <t>c) 2009-2010  Sezonu Turunçgil rekolte tahminleri  - 2009-2010 Citrus production forecast .</t>
  </si>
  <si>
    <t>2008-09</t>
  </si>
  <si>
    <t>Tablo 26. 2009 yılı sulu arazi dağılımı (dönüm)- Distribution of Irrigated Land (donum)</t>
  </si>
  <si>
    <t xml:space="preserve">Tablo 35.2009 Yılı Karkas Ağırlıklar-Yearly Bodyweight </t>
  </si>
  <si>
    <r>
      <t xml:space="preserve">Köy Sayısı </t>
    </r>
    <r>
      <rPr>
        <sz val="20"/>
        <rFont val="Times New Roman"/>
        <family val="1"/>
      </rPr>
      <t>(</t>
    </r>
    <r>
      <rPr>
        <i/>
        <sz val="20"/>
        <rFont val="Times New Roman"/>
        <family val="1"/>
      </rPr>
      <t>Number of villages)</t>
    </r>
  </si>
  <si>
    <r>
      <t>Üretici sayısı (</t>
    </r>
    <r>
      <rPr>
        <i/>
        <sz val="20"/>
        <rFont val="Times New Roman"/>
        <family val="1"/>
      </rPr>
      <t>Number of producers)</t>
    </r>
  </si>
  <si>
    <t xml:space="preserve">            İnek (Cow)-Açık (Open Milk)</t>
  </si>
  <si>
    <t xml:space="preserve"> Koyun (Sheep)- Soğuk (Cold Chain Milk)</t>
  </si>
  <si>
    <t xml:space="preserve">             Keçi (Goats)-Açık (Open Milk)</t>
  </si>
  <si>
    <t xml:space="preserve">         Koyun (Sheep)-Açık (Open Milk)</t>
  </si>
  <si>
    <t xml:space="preserve">        Keçi (Goats)- Soğuk (Cold Chain Milk)</t>
  </si>
  <si>
    <t xml:space="preserve">     İnek (Cow)- Soğuk (Cold Chain Milk)</t>
  </si>
  <si>
    <r>
      <rPr>
        <b/>
        <sz val="20"/>
        <rFont val="Times New Roman"/>
        <family val="1"/>
      </rPr>
      <t>Toplanan süt miktarı (ton</t>
    </r>
    <r>
      <rPr>
        <sz val="20"/>
        <rFont val="Times New Roman"/>
        <family val="1"/>
      </rPr>
      <t xml:space="preserve">)- </t>
    </r>
    <r>
      <rPr>
        <i/>
        <sz val="20"/>
        <rFont val="Times New Roman"/>
        <family val="1"/>
      </rPr>
      <t>Collected Milk</t>
    </r>
  </si>
  <si>
    <r>
      <rPr>
        <b/>
        <sz val="20"/>
        <rFont val="Times New Roman"/>
        <family val="1"/>
      </rPr>
      <t>Toplanan süt miktarı (ton)</t>
    </r>
    <r>
      <rPr>
        <sz val="20"/>
        <rFont val="Times New Roman"/>
        <family val="1"/>
      </rPr>
      <t xml:space="preserve">- </t>
    </r>
    <r>
      <rPr>
        <i/>
        <sz val="20"/>
        <rFont val="Times New Roman"/>
        <family val="1"/>
      </rPr>
      <t>Collected Milk</t>
    </r>
  </si>
  <si>
    <r>
      <rPr>
        <b/>
        <sz val="20"/>
        <rFont val="Times New Roman"/>
        <family val="1"/>
      </rPr>
      <t xml:space="preserve">Toplam İnek sütü(ton)- </t>
    </r>
    <r>
      <rPr>
        <i/>
        <sz val="20"/>
        <rFont val="Times New Roman"/>
        <family val="1"/>
      </rPr>
      <t>Cow milk total (ton)</t>
    </r>
  </si>
  <si>
    <r>
      <rPr>
        <b/>
        <sz val="20"/>
        <rFont val="Times New Roman"/>
        <family val="1"/>
      </rPr>
      <t xml:space="preserve">Toplam Koyun sütü(ton)- </t>
    </r>
    <r>
      <rPr>
        <i/>
        <sz val="20"/>
        <rFont val="Times New Roman"/>
        <family val="1"/>
      </rPr>
      <t>Sheep milk total (ton)</t>
    </r>
  </si>
  <si>
    <r>
      <rPr>
        <b/>
        <sz val="20"/>
        <rFont val="Times New Roman"/>
        <family val="1"/>
      </rPr>
      <t>Toplam Keçi sütü(ton)-</t>
    </r>
    <r>
      <rPr>
        <sz val="20"/>
        <rFont val="Times New Roman"/>
        <family val="1"/>
      </rPr>
      <t xml:space="preserve"> </t>
    </r>
    <r>
      <rPr>
        <i/>
        <sz val="20"/>
        <rFont val="Times New Roman"/>
        <family val="1"/>
      </rPr>
      <t>Goats milk total (ton)</t>
    </r>
  </si>
  <si>
    <t>karkas ve süt verimliliği aynı raporda</t>
  </si>
  <si>
    <t xml:space="preserve">              Bulaşıcı Hastalıklar Büyükbaş-İnfectious disease</t>
  </si>
  <si>
    <t xml:space="preserve">              Bulaşıcı Hastalıklar Küçükbaş-İnfectious disease</t>
  </si>
  <si>
    <t>ÇİLEK EKLENECEK</t>
  </si>
  <si>
    <t>TOPLAMLAR EN SON</t>
  </si>
  <si>
    <t>Kazakistan</t>
  </si>
  <si>
    <t>Türkmenistan</t>
  </si>
  <si>
    <t>Tacikistan</t>
  </si>
  <si>
    <r>
      <t xml:space="preserve"> Mandarin işlenmemiş-</t>
    </r>
    <r>
      <rPr>
        <i/>
        <sz val="26"/>
        <rFont val="Times New Roman TUR"/>
        <family val="0"/>
      </rPr>
      <t>Unprocessed Tangerine</t>
    </r>
  </si>
  <si>
    <t>Antepfıstığı Fidanı-</t>
  </si>
  <si>
    <t>Berberis Fidanı-</t>
  </si>
  <si>
    <t>Böğürtlen Fidanı-</t>
  </si>
  <si>
    <t>Cennet Hurması Fidanı-</t>
  </si>
  <si>
    <t>Hınnap Fidanı</t>
  </si>
  <si>
    <t>Kabak Fidesi-</t>
  </si>
  <si>
    <t>Kadife Fidesi-</t>
  </si>
  <si>
    <t>Kivi Fidanı-</t>
  </si>
  <si>
    <t>Lahana Fidesi-</t>
  </si>
  <si>
    <t>Mersin Fidanı-</t>
  </si>
  <si>
    <t>Mevsimlik Fide(muhtelif)-</t>
  </si>
  <si>
    <t>Coriander small seeded</t>
  </si>
  <si>
    <t>Muhtelif Sebze Tohumu</t>
  </si>
  <si>
    <t>Spinach Spinoza</t>
  </si>
  <si>
    <t>Ambelinius</t>
  </si>
  <si>
    <t>Anemon</t>
  </si>
  <si>
    <t>Kesme Yeşillik</t>
  </si>
  <si>
    <t>Çiçek-Kurutulmuş Çiçek Ad.</t>
  </si>
  <si>
    <t>Yaban Mersini</t>
  </si>
  <si>
    <t>Acetamiprid % 20 SP</t>
  </si>
  <si>
    <t>Agrodion V -18</t>
  </si>
  <si>
    <t>Aminolom Cristal  Vita</t>
  </si>
  <si>
    <t>Atay  Dengeli</t>
  </si>
  <si>
    <t>Atay Matador</t>
  </si>
  <si>
    <t>Atay Potassio</t>
  </si>
  <si>
    <t>Atay Super</t>
  </si>
  <si>
    <t>Atay Fosforlu</t>
  </si>
  <si>
    <t>Balance</t>
  </si>
  <si>
    <t>Baybet</t>
  </si>
  <si>
    <t>Bionic</t>
  </si>
  <si>
    <t>Bio drip Potaslı</t>
  </si>
  <si>
    <t>Bio drip Dengeli</t>
  </si>
  <si>
    <t>Biovet</t>
  </si>
  <si>
    <t>Borka</t>
  </si>
  <si>
    <t>Calclum Nitrate Sqm</t>
  </si>
  <si>
    <t>Çinko Sülfat</t>
  </si>
  <si>
    <t>Comprador</t>
  </si>
  <si>
    <t>Complex   F</t>
  </si>
  <si>
    <t>DiamoniumPhosphate(DAP) 18-46-0</t>
  </si>
  <si>
    <t>Dimethomorph +Manco, 9+60WP</t>
  </si>
  <si>
    <t>Drainfert</t>
  </si>
  <si>
    <t>Eurofeed Zinc</t>
  </si>
  <si>
    <t>Ferti -Multi -Micro Comb</t>
  </si>
  <si>
    <t>Ferti -Multigreen 12-00-44</t>
  </si>
  <si>
    <t>Ferral</t>
  </si>
  <si>
    <t>Fulvisit BFA</t>
  </si>
  <si>
    <t>Gloferti</t>
  </si>
  <si>
    <t>Golden Cabor</t>
  </si>
  <si>
    <t>Golden Drop  Potas</t>
  </si>
  <si>
    <t>Golden Drop Potas</t>
  </si>
  <si>
    <t>Golden Magnezyum</t>
  </si>
  <si>
    <t>Grogreen Subtil Map</t>
  </si>
  <si>
    <t>Greencan 8-8-8</t>
  </si>
  <si>
    <t>Greentar</t>
  </si>
  <si>
    <t>Harmony</t>
  </si>
  <si>
    <t>Harvest</t>
  </si>
  <si>
    <t>Herta Magnezyum</t>
  </si>
  <si>
    <t>Humatol</t>
  </si>
  <si>
    <t>Hümik Asit</t>
  </si>
  <si>
    <t>Hypnose 05SG</t>
  </si>
  <si>
    <t>İndoxacarb</t>
  </si>
  <si>
    <t>İprodione % 50WP</t>
  </si>
  <si>
    <t>Kali Tes</t>
  </si>
  <si>
    <t>Kernel</t>
  </si>
  <si>
    <t>KNO3 CRYST</t>
  </si>
  <si>
    <t>Kimyevi Gübre 20-20-0</t>
  </si>
  <si>
    <t>KTS (0-0-36-25S)</t>
  </si>
  <si>
    <t>Kompoze 20+20+5+ME</t>
  </si>
  <si>
    <t>K-Bomb</t>
  </si>
  <si>
    <t>Labin Antisal TK</t>
  </si>
  <si>
    <t>Lombrico P</t>
  </si>
  <si>
    <t>Mancozeb + Metalaxyl 64 + 8 WP</t>
  </si>
  <si>
    <t>Mangan Sülfat</t>
  </si>
  <si>
    <t>MAP</t>
  </si>
  <si>
    <t>Magellan</t>
  </si>
  <si>
    <t>Magnezyum  Sülfat</t>
  </si>
  <si>
    <t>MAJOR</t>
  </si>
  <si>
    <t xml:space="preserve">Mega Tref  48 EC </t>
  </si>
  <si>
    <t>Mesoplus</t>
  </si>
  <si>
    <t>METANYLM</t>
  </si>
  <si>
    <t>Micro  Boost ZN-9</t>
  </si>
  <si>
    <t>MİST</t>
  </si>
  <si>
    <t>Mono Ammonıum Phosphate Kgs</t>
  </si>
  <si>
    <t>Multifer</t>
  </si>
  <si>
    <t>NPK (15-30-15+TE)</t>
  </si>
  <si>
    <t>NFE (16-0-0-4FE)</t>
  </si>
  <si>
    <t>Nutron</t>
  </si>
  <si>
    <t>Nutrisol Super Potasyum</t>
  </si>
  <si>
    <t>Nu Fol</t>
  </si>
  <si>
    <t>Nu - Mix  Plus</t>
  </si>
  <si>
    <t>Nu  -Mix Spray</t>
  </si>
  <si>
    <t>Ortero</t>
  </si>
  <si>
    <t>POLY - N ( 11-37 -0 )</t>
  </si>
  <si>
    <t>Polyfeed 20-20-20</t>
  </si>
  <si>
    <t>Polyfeed 14-7-28</t>
  </si>
  <si>
    <t>Potasyum Sulfat ( 42K -18 S )</t>
  </si>
  <si>
    <t xml:space="preserve">Powhumus </t>
  </si>
  <si>
    <t>Phentox</t>
  </si>
  <si>
    <t>Primite 20 WP</t>
  </si>
  <si>
    <t>Plantaflor</t>
  </si>
  <si>
    <t>Safflaoud</t>
  </si>
  <si>
    <t>Soilfort K.</t>
  </si>
  <si>
    <t>Soilfort  N</t>
  </si>
  <si>
    <t>Soilfort  P</t>
  </si>
  <si>
    <t>Solfonitrato</t>
  </si>
  <si>
    <t>Slogan</t>
  </si>
  <si>
    <t>Start DF</t>
  </si>
  <si>
    <t>Supragil</t>
  </si>
  <si>
    <t>Sulphate ( % 21 )</t>
  </si>
  <si>
    <t>Sunconil</t>
  </si>
  <si>
    <t>Spray Feed 20.20.20</t>
  </si>
  <si>
    <t>Tayo Min Patates</t>
  </si>
  <si>
    <t xml:space="preserve">Tayo P. T  .S </t>
  </si>
  <si>
    <t>Tioactiv</t>
  </si>
  <si>
    <t>Thing  Phos</t>
  </si>
  <si>
    <t>Tiralin</t>
  </si>
  <si>
    <t>Torutin</t>
  </si>
  <si>
    <t>Triple Super Fosfat</t>
  </si>
  <si>
    <t>Trisert (  25-0-0-0. 4B )</t>
  </si>
  <si>
    <t>Üröpotaş</t>
  </si>
  <si>
    <t>Yosun Özü</t>
  </si>
  <si>
    <t>Vigorex</t>
  </si>
  <si>
    <t xml:space="preserve"> Aster</t>
  </si>
  <si>
    <t>Celbera</t>
  </si>
  <si>
    <t>Cibso</t>
  </si>
  <si>
    <t>Frezya</t>
  </si>
  <si>
    <t>Glayör</t>
  </si>
  <si>
    <t>Gül</t>
  </si>
  <si>
    <t>Karanfil</t>
  </si>
  <si>
    <t>Lale</t>
  </si>
  <si>
    <t>Lilyum</t>
  </si>
  <si>
    <t>Liciantus</t>
  </si>
  <si>
    <t>Orkide</t>
  </si>
  <si>
    <t>Salidago</t>
  </si>
  <si>
    <t>Starliçe</t>
  </si>
  <si>
    <t>Şabboy</t>
  </si>
  <si>
    <t>Kesme asparagus</t>
  </si>
  <si>
    <t xml:space="preserve">Tablo 48. Et ve et mamulleri ithalatı </t>
  </si>
  <si>
    <t xml:space="preserve">              Meat and meat products import </t>
  </si>
  <si>
    <t>Tablo 49.  Süt ve süt mamulleri, civciv ve yumurta ithalatı</t>
  </si>
  <si>
    <t xml:space="preserve">                Milk and milk products, chick and egg import </t>
  </si>
  <si>
    <t>Konserve tavuk</t>
  </si>
  <si>
    <t xml:space="preserve">Süt tozu </t>
  </si>
  <si>
    <t xml:space="preserve">Dondurma </t>
  </si>
  <si>
    <t>Kondense süt</t>
  </si>
  <si>
    <t>Süt UHT</t>
  </si>
  <si>
    <t>Süt ürünleri</t>
  </si>
  <si>
    <t>Ayran</t>
  </si>
  <si>
    <t>Nufus - Population: 283,768 Kişi - Person</t>
  </si>
  <si>
    <t xml:space="preserve"> Arıcılık-Bees keeping*</t>
  </si>
  <si>
    <t>Beyaz Peynir</t>
  </si>
  <si>
    <t>Lor peyniri</t>
  </si>
  <si>
    <t xml:space="preserve"> .........Cheese</t>
  </si>
  <si>
    <t>75000 dönüm civarı buğday alanı</t>
  </si>
  <si>
    <t xml:space="preserve">  Pancar-Beets</t>
  </si>
  <si>
    <t>Taze Soğan-Green Onions</t>
  </si>
  <si>
    <t>dışsatım</t>
  </si>
  <si>
    <t>valencia</t>
  </si>
  <si>
    <t>washington</t>
  </si>
  <si>
    <t>limon</t>
  </si>
  <si>
    <t xml:space="preserve">            ÇİLEK-STRAWBERRY</t>
  </si>
  <si>
    <t>kg/da</t>
  </si>
  <si>
    <t>PATATES SOĞAN KOLOKAS, TİCARET DAİRESİNE İHRACAT MİKTARLARI SORULACAK.</t>
  </si>
  <si>
    <t>Buğday(aşurelik)-</t>
  </si>
  <si>
    <t>Cheese</t>
  </si>
  <si>
    <t xml:space="preserve">   Fıstık - Grountnuts</t>
  </si>
  <si>
    <t>2.Yumru bitkiler - Tuber crops</t>
  </si>
  <si>
    <t xml:space="preserve">   Patates - Potatoes</t>
  </si>
  <si>
    <t xml:space="preserve">   Kolokas - Kolocassy</t>
  </si>
  <si>
    <t xml:space="preserve">   Soğan - Onion</t>
  </si>
  <si>
    <t xml:space="preserve">   Güver - Onion seed</t>
  </si>
  <si>
    <t xml:space="preserve">   Sarımsak - Garlic</t>
  </si>
  <si>
    <t xml:space="preserve">   Pancar - Beats</t>
  </si>
  <si>
    <t>3.Yem bitkileri - Fodder crops</t>
  </si>
  <si>
    <t xml:space="preserve">   Yonca - Alfalfa</t>
  </si>
  <si>
    <t>4.Yapragı yenen sebzeler - Leafly or edible stem vegetables</t>
  </si>
  <si>
    <t xml:space="preserve">   Luvana - Louvana</t>
  </si>
  <si>
    <t xml:space="preserve">   Enginar - Artichokes</t>
  </si>
  <si>
    <t xml:space="preserve">   Sarma lahanası - Cabbage</t>
  </si>
  <si>
    <t xml:space="preserve">   Pırasa - Leek</t>
  </si>
  <si>
    <t xml:space="preserve">   Pazı - Garden orache</t>
  </si>
  <si>
    <t xml:space="preserve">   Ispanak - Spınach</t>
  </si>
  <si>
    <t xml:space="preserve">   Molohiya -Molohia</t>
  </si>
  <si>
    <r>
      <t>Nohut</t>
    </r>
    <r>
      <rPr>
        <i/>
        <sz val="20"/>
        <rFont val="Times New Roman"/>
        <family val="1"/>
      </rPr>
      <t>-Chickpeas</t>
    </r>
  </si>
  <si>
    <r>
      <t>Mercimek</t>
    </r>
    <r>
      <rPr>
        <i/>
        <sz val="20"/>
        <rFont val="Times New Roman"/>
        <family val="1"/>
      </rPr>
      <t>-Lentils</t>
    </r>
  </si>
  <si>
    <r>
      <t>K.Bakla-</t>
    </r>
    <r>
      <rPr>
        <i/>
        <sz val="20"/>
        <rFont val="Times New Roman"/>
        <family val="1"/>
      </rPr>
      <t>Broad bean</t>
    </r>
  </si>
  <si>
    <r>
      <t>K.Fasulye</t>
    </r>
    <r>
      <rPr>
        <i/>
        <sz val="20"/>
        <rFont val="Times New Roman"/>
        <family val="1"/>
      </rPr>
      <t>-Dry beans</t>
    </r>
  </si>
  <si>
    <r>
      <t>K.Böğrülce-</t>
    </r>
    <r>
      <rPr>
        <i/>
        <sz val="20"/>
        <rFont val="Times New Roman"/>
        <family val="1"/>
      </rPr>
      <t>Kidney beans</t>
    </r>
  </si>
  <si>
    <r>
      <t>Tütün-</t>
    </r>
    <r>
      <rPr>
        <i/>
        <sz val="20"/>
        <rFont val="Times New Roman"/>
        <family val="1"/>
      </rPr>
      <t>Tabacco</t>
    </r>
  </si>
  <si>
    <r>
      <t>Çay-</t>
    </r>
    <r>
      <rPr>
        <i/>
        <sz val="20"/>
        <rFont val="Times New Roman"/>
        <family val="1"/>
      </rPr>
      <t>Tea</t>
    </r>
  </si>
  <si>
    <t>Tablo 38. Çıkış limanlarına göre ihracatlar (Kg) - Exports by ports (Kg)</t>
  </si>
  <si>
    <t xml:space="preserve">                                   Düşükler-Abortion</t>
  </si>
  <si>
    <t>2003-04</t>
  </si>
  <si>
    <t>Fasulye (kuru)-Beans (dry)</t>
  </si>
  <si>
    <t>Asma Yaprağı</t>
  </si>
  <si>
    <t>Vine Leaf</t>
  </si>
  <si>
    <t>Bullez</t>
  </si>
  <si>
    <t>Fıstık İçi- Graundnut mind</t>
  </si>
  <si>
    <t>Dondurulmuş Lahana</t>
  </si>
  <si>
    <t>Frozen Cabbage</t>
  </si>
  <si>
    <t>January</t>
  </si>
  <si>
    <t>February</t>
  </si>
  <si>
    <t>December</t>
  </si>
  <si>
    <t>Süt mamülleri (Kg)</t>
  </si>
  <si>
    <t>Kimyevi Gübre 15.15.15</t>
  </si>
  <si>
    <t>Liqhumus</t>
  </si>
  <si>
    <t>Nutrileaf</t>
  </si>
  <si>
    <t>Potasyum sulfat %50 K2O</t>
  </si>
  <si>
    <t>Tablo 1.Arazi Varlığı - Land  Existence</t>
  </si>
  <si>
    <t>a)Arazi Dağılımı - Land Distribution</t>
  </si>
  <si>
    <t xml:space="preserve">               Arazi Çeşidi </t>
  </si>
  <si>
    <t xml:space="preserve">                     Kind of Land </t>
  </si>
  <si>
    <t>Dönüm</t>
  </si>
  <si>
    <t>Dekar</t>
  </si>
  <si>
    <t>%</t>
  </si>
  <si>
    <t>Arazi Çeşidi</t>
  </si>
  <si>
    <t>Miktar</t>
  </si>
  <si>
    <t>Kuru Tarım Arazisi</t>
  </si>
  <si>
    <t>A</t>
  </si>
  <si>
    <t>Sulu Tarım Arazisi</t>
  </si>
  <si>
    <t>Frozen Potatoes</t>
  </si>
  <si>
    <t>Nektarin</t>
  </si>
  <si>
    <t>Mango</t>
  </si>
  <si>
    <t>Ayçiçeği çekirdeği küspesi</t>
  </si>
  <si>
    <t>Sunflower seed oil cake</t>
  </si>
  <si>
    <t>Pamuk çekirdeği küspesi</t>
  </si>
  <si>
    <t>Yonca Küspesi</t>
  </si>
  <si>
    <t>Alfalfa oil cake</t>
  </si>
  <si>
    <t>B</t>
  </si>
  <si>
    <t>Kind of Land</t>
  </si>
  <si>
    <t>Amount</t>
  </si>
  <si>
    <t xml:space="preserve">Dry land </t>
  </si>
  <si>
    <t>-</t>
  </si>
  <si>
    <t xml:space="preserve">   8) Yaprağı yenen Sebzeler</t>
  </si>
  <si>
    <t xml:space="preserve">       Liafly or Edible Stem Vegetables</t>
  </si>
  <si>
    <t xml:space="preserve">   9) Meyvesi yenen Sebzeler</t>
  </si>
  <si>
    <t xml:space="preserve">       Fruits Bearing Vegetables</t>
  </si>
  <si>
    <t xml:space="preserve"> 11) Soğansı yumru ve Kök Sebzeleri</t>
  </si>
  <si>
    <t xml:space="preserve"> 16) Üzüm ve Üzümsü Meyveler</t>
  </si>
  <si>
    <t xml:space="preserve">       Grape and Grape like Fruits</t>
  </si>
  <si>
    <t>Toplam</t>
  </si>
  <si>
    <t>Toplam - Total</t>
  </si>
  <si>
    <t>Yıllar</t>
  </si>
  <si>
    <t>Years</t>
  </si>
  <si>
    <t>Toplam-Total</t>
  </si>
  <si>
    <t xml:space="preserve">    Bezelye-Peas</t>
  </si>
  <si>
    <t xml:space="preserve">      Alabaş-Kohlraby</t>
  </si>
  <si>
    <t xml:space="preserve">Çiçek Lahanası-Cauliflower   </t>
  </si>
  <si>
    <t>Total</t>
  </si>
  <si>
    <t>2004-05</t>
  </si>
  <si>
    <t>Sıra no</t>
  </si>
  <si>
    <t>Tazminatın Nev'i</t>
  </si>
  <si>
    <t>Zarar Gören Alan (dö)</t>
  </si>
  <si>
    <t>Row namber</t>
  </si>
  <si>
    <t>Kind of Sabsitite</t>
  </si>
  <si>
    <t>Area Under Losses (dö)</t>
  </si>
  <si>
    <t>Holder</t>
  </si>
  <si>
    <t>Aylar</t>
  </si>
  <si>
    <t>Gübre-Manure</t>
  </si>
  <si>
    <t>Düşük Beyanı</t>
  </si>
  <si>
    <t>Kapsam dışı</t>
  </si>
  <si>
    <t>Ödenen</t>
  </si>
  <si>
    <t>Ür. Sayısı</t>
  </si>
  <si>
    <t>Ödenen Sübvansiyon</t>
  </si>
  <si>
    <t>Hayvan Adedi</t>
  </si>
  <si>
    <t>Deglaration</t>
  </si>
  <si>
    <t>Paid</t>
  </si>
  <si>
    <t>No of</t>
  </si>
  <si>
    <t>Dolu-Hail</t>
  </si>
  <si>
    <t>for Abortion</t>
  </si>
  <si>
    <t>Domates fidesi-Tomatoes Plant</t>
  </si>
  <si>
    <t>Gül fidanı-Rose Plant</t>
  </si>
  <si>
    <t>Karanfil fidanı-Clove Pink Plant</t>
  </si>
  <si>
    <t>Karpuz fidesi-Watermelon Plant</t>
  </si>
  <si>
    <t>Kereviz fidesi-Celery Plant</t>
  </si>
  <si>
    <t>Limon Fidanı-Lemon Plant</t>
  </si>
  <si>
    <t>Muşmula fidanı-Medlar Plant</t>
  </si>
  <si>
    <t>Zeytin fidanı-Olive Plant</t>
  </si>
  <si>
    <t>Antorium</t>
  </si>
  <si>
    <t>Dış Mekan Bitkisi</t>
  </si>
  <si>
    <t>Muhtelif Süs Bitkisi</t>
  </si>
  <si>
    <t>Extention</t>
  </si>
  <si>
    <t>Producer</t>
  </si>
  <si>
    <t>Animal</t>
  </si>
  <si>
    <t>a)Tahıl-Cereals</t>
  </si>
  <si>
    <t>Ocak</t>
  </si>
  <si>
    <t>Yumuşak-Soft</t>
  </si>
  <si>
    <t>Sert-Durum</t>
  </si>
  <si>
    <t>Arpa - Barley</t>
  </si>
  <si>
    <t xml:space="preserve">                 PATLICAN -EGGPLANT</t>
  </si>
  <si>
    <t xml:space="preserve">             BİBER - PEPPER</t>
  </si>
  <si>
    <t xml:space="preserve">    Sera -Green House</t>
  </si>
  <si>
    <t xml:space="preserve">           KAVUN - SWEET MELON</t>
  </si>
  <si>
    <t xml:space="preserve">           KARPUZ - WATER MELON</t>
  </si>
  <si>
    <t xml:space="preserve">             ÇİÇEK - FLOWERS</t>
  </si>
  <si>
    <t>Nohut-Chickpeas</t>
  </si>
  <si>
    <t>Mercimek-Lentils</t>
  </si>
  <si>
    <t>Şubat</t>
  </si>
  <si>
    <t>Mart</t>
  </si>
  <si>
    <t>b)Fiğ-Vetch</t>
  </si>
  <si>
    <t>March</t>
  </si>
  <si>
    <t>Nisan</t>
  </si>
  <si>
    <t>April</t>
  </si>
  <si>
    <t>Mayıs</t>
  </si>
  <si>
    <t>Don-Frost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</si>
  <si>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</si>
  <si>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</si>
  <si>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</si>
  <si>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</si>
  <si>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</si>
  <si>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</si>
  <si>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</si>
  <si>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</si>
  <si>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Ekim</t>
  </si>
  <si>
    <t>Sel-Torrent</t>
  </si>
  <si>
    <t>October</t>
  </si>
  <si>
    <t>Kasım</t>
  </si>
  <si>
    <t>November</t>
  </si>
  <si>
    <t>Aralık</t>
  </si>
  <si>
    <t>TOPLAM</t>
  </si>
  <si>
    <t>Kaynak: Genel Tarım Sigortası Fonu</t>
  </si>
  <si>
    <t>Fırtına-Storm</t>
  </si>
  <si>
    <t>GENEL TOPLAM-TOTAL</t>
  </si>
  <si>
    <t>Greyfurt</t>
  </si>
  <si>
    <t>Greyfurt konsantresi</t>
  </si>
  <si>
    <t>Greyfurt kabuk yağı</t>
  </si>
  <si>
    <t>Ülkeler-Countries</t>
  </si>
  <si>
    <t>I.s g/furt-I.cl g/fruit</t>
  </si>
  <si>
    <t>I.s yafa-I.cl shiamouti</t>
  </si>
  <si>
    <t>Kazalara ve bölgelere göre tarla bitkileri, meyve ve sebze ekim alanları, verim ve üretim istatistikleri</t>
  </si>
  <si>
    <t>gübre</t>
  </si>
  <si>
    <t>büyükbaş</t>
  </si>
  <si>
    <t>küçükbaş</t>
  </si>
  <si>
    <t>Sown area, yields and production of field crops, vegetables and fruits by districts and regions</t>
  </si>
  <si>
    <t>Kazalar</t>
  </si>
  <si>
    <t>Alan</t>
  </si>
  <si>
    <t>Verim</t>
  </si>
  <si>
    <t>Üretim</t>
  </si>
  <si>
    <t>Districts</t>
  </si>
  <si>
    <t xml:space="preserve">Bölgeler </t>
  </si>
  <si>
    <t>Area</t>
  </si>
  <si>
    <t>Yield</t>
  </si>
  <si>
    <t>Production</t>
  </si>
  <si>
    <t>Regions</t>
  </si>
  <si>
    <t>Kg/Dö</t>
  </si>
  <si>
    <t>Ton</t>
  </si>
  <si>
    <t>KKTC</t>
  </si>
  <si>
    <t>TRNC</t>
  </si>
  <si>
    <t>LEFKOŞA</t>
  </si>
  <si>
    <t>NICOSIA</t>
  </si>
  <si>
    <t>Lefkoşa merkez</t>
  </si>
  <si>
    <t>Central Nicosia</t>
  </si>
  <si>
    <t>Değirmenlik</t>
  </si>
  <si>
    <t>Ercan</t>
  </si>
  <si>
    <t>Güzelyurt</t>
  </si>
  <si>
    <t>Lefke</t>
  </si>
  <si>
    <t>GAZİ MAĞUSA</t>
  </si>
  <si>
    <t>FAMAGUSTA</t>
  </si>
  <si>
    <t>G.Mağusa A</t>
  </si>
  <si>
    <t>Famagusta A</t>
  </si>
  <si>
    <t>G.Mağusa B</t>
  </si>
  <si>
    <t>Famagusta B</t>
  </si>
  <si>
    <t>Akdoğan</t>
  </si>
  <si>
    <t>Yeni Erenköy</t>
  </si>
  <si>
    <t>Mehmetçik</t>
  </si>
  <si>
    <t>Yeni İskele</t>
  </si>
  <si>
    <t>Gönendere</t>
  </si>
  <si>
    <t>Geçitkale</t>
  </si>
  <si>
    <t>Nectarine</t>
  </si>
  <si>
    <t>GİRNE</t>
  </si>
  <si>
    <t>KYRENIA</t>
  </si>
  <si>
    <t>Girne Doğu</t>
  </si>
  <si>
    <t>Kyrenia East</t>
  </si>
  <si>
    <t>Girne Batı</t>
  </si>
  <si>
    <t>Kyrenia West</t>
  </si>
  <si>
    <t>Boğaz</t>
  </si>
  <si>
    <t>Çamlıbel</t>
  </si>
  <si>
    <t>Tablo 9.Baklagiller - Pulses</t>
  </si>
  <si>
    <t>Productıon</t>
  </si>
  <si>
    <t>Tablo 10.Endüstriyel Bitkiler - Industrial Crops</t>
  </si>
  <si>
    <t xml:space="preserve">         Tütün-Tobacco</t>
  </si>
  <si>
    <t>Tablo 11.Yağlı Tohumlar - Oil Seeds</t>
  </si>
  <si>
    <t>İlkbahar Patatesi-Spring Potatoes</t>
  </si>
  <si>
    <t>Tablo 12.Yumru Bitkiler - Tuber Crops</t>
  </si>
  <si>
    <t>Sonb. Patates-Aut.Potatoes</t>
  </si>
  <si>
    <t>Frozen Pitza-meatball</t>
  </si>
  <si>
    <t>Tereyağı</t>
  </si>
  <si>
    <t xml:space="preserve">      Kolokas-Kolokassy</t>
  </si>
  <si>
    <t xml:space="preserve"> Soğan (kuru)-Onions  (dry)</t>
  </si>
  <si>
    <t>Alan*</t>
  </si>
  <si>
    <t>Area*</t>
  </si>
  <si>
    <t xml:space="preserve">        Güver-Onion Seed</t>
  </si>
  <si>
    <t xml:space="preserve">         Sarımsak-Garlic</t>
  </si>
  <si>
    <t>Tablo 13.Yem Bitkileri - Fodder Crops</t>
  </si>
  <si>
    <t xml:space="preserve"> Arpa Hasılı-Barley Forrage</t>
  </si>
  <si>
    <t xml:space="preserve">   Tahıl balyası-Cereal Hay </t>
  </si>
  <si>
    <t>Baklagil Balyası-Legume Hay</t>
  </si>
  <si>
    <t xml:space="preserve">  Yulaf Hasılı-Oats Forrage</t>
  </si>
  <si>
    <t>Tablo 14.Yaprağı Yenen Sebzeler - Leafly or Edible Stem Vegetables</t>
  </si>
  <si>
    <t>Tablo 14.Yaprağı Yenen Sebzeler  (devam)- Leafly or Edible Stem Vegetables (cont.)</t>
  </si>
  <si>
    <t>Tablo 15.Meyvesi Yenen Sebzeler - Fruit Bearing Vegetables</t>
  </si>
  <si>
    <t>Tablo 15.Meyvesi Yenen Sebzeler (devam)- Fruit Bearing Vegetables</t>
  </si>
  <si>
    <t>Et üretimi-Meat production  (Ton)</t>
  </si>
  <si>
    <t xml:space="preserve">   Yavru üretimi-Lifestock Breed (Adet-per)</t>
  </si>
  <si>
    <t>Natural manure production (ton)</t>
  </si>
  <si>
    <t xml:space="preserve"> Koyun</t>
  </si>
  <si>
    <t xml:space="preserve">Üzüm   </t>
  </si>
  <si>
    <t>Grapes</t>
  </si>
  <si>
    <t xml:space="preserve">                              </t>
  </si>
  <si>
    <t xml:space="preserve"> Sheep</t>
  </si>
  <si>
    <t>Civciv üretimi-Chick production</t>
  </si>
  <si>
    <t xml:space="preserve">          Bal üretimi (ton)</t>
  </si>
  <si>
    <t xml:space="preserve">    Honey production (ton)</t>
  </si>
  <si>
    <t>Gön. Kavun-S.Melons unirrigated</t>
  </si>
  <si>
    <t xml:space="preserve">    Gön.Karpuz-Melons unirrigated</t>
  </si>
  <si>
    <t>Tablo 16.Baklagil Sebzeleri - Leguminous Vegetables</t>
  </si>
  <si>
    <t>Alan *</t>
  </si>
  <si>
    <t xml:space="preserve">Alan </t>
  </si>
  <si>
    <t xml:space="preserve">   * Ekili alan suluya ve gönene ekim alanıdır.- Area sown is the same for irrigated and not irrigated land.</t>
  </si>
  <si>
    <t>Tablo 17.Soğansı,Yumru ve Kök Sebzeleri - Root,Bulb &amp; Tuberous Vegetables</t>
  </si>
  <si>
    <t xml:space="preserve">          Havuç-Carrots</t>
  </si>
  <si>
    <t xml:space="preserve">           Turp-Radishs</t>
  </si>
  <si>
    <t>Tablo 18.Diğer Sebzeler - Other Vegetables</t>
  </si>
  <si>
    <t>Tablo 19.Sert Kabuklu Meyveler - Nuts</t>
  </si>
  <si>
    <t xml:space="preserve">        Badem-Almonds</t>
  </si>
  <si>
    <t xml:space="preserve">          Ceviz-Walnuts</t>
  </si>
  <si>
    <t>Ağaç adeti</t>
  </si>
  <si>
    <t>Number  of</t>
  </si>
  <si>
    <t>Trees</t>
  </si>
  <si>
    <t>Kg/Ağaç</t>
  </si>
  <si>
    <t>Tablo 20.Yumuşak Çekirdekli Meyveler - Pome Fruits</t>
  </si>
  <si>
    <t xml:space="preserve">           Elma-Apples</t>
  </si>
  <si>
    <t xml:space="preserve">            Armut-Pears</t>
  </si>
  <si>
    <t xml:space="preserve">       Yenidünya-Loquats</t>
  </si>
  <si>
    <t>Kg/ağaç</t>
  </si>
  <si>
    <t>Tablo 21.Taş Çekirdekli Meyveler - Stone Fruits</t>
  </si>
  <si>
    <t>Tablo 22.Üzüm ve Üzümsü Meyveler - Grape &amp; Grape Like Fruits</t>
  </si>
  <si>
    <t xml:space="preserve">                 Miktar (Dönüm)</t>
  </si>
  <si>
    <t>4. Kasaba, Köy, Dere ve Gölet Arazisi</t>
  </si>
  <si>
    <t xml:space="preserve">        </t>
  </si>
  <si>
    <t>Tablo 22.Üzüm ve Üzümsü Meyveler (devam)- Grape &amp; Grape Like Fruits(cont)</t>
  </si>
  <si>
    <t xml:space="preserve">       Çilek-Strawberries</t>
  </si>
  <si>
    <t xml:space="preserve"> Asma Talvarı-Vines on Trel.</t>
  </si>
  <si>
    <t>Adet</t>
  </si>
  <si>
    <t>Per</t>
  </si>
  <si>
    <t>Tablo 23.Turunçgil Meyveleri - Citrus Fruits</t>
  </si>
  <si>
    <t>b)Turunçgil Varlığı,Üretimi ve Verimi - Citrus Area,Yields &amp; Productions</t>
  </si>
  <si>
    <t xml:space="preserve">      Valensiya-Valencia</t>
  </si>
  <si>
    <t xml:space="preserve">        Yafa- Shiamouti</t>
  </si>
  <si>
    <t xml:space="preserve">    Vaşington-Washington</t>
  </si>
  <si>
    <t xml:space="preserve">          Limon-Lemons</t>
  </si>
  <si>
    <t>Ürün cinsi</t>
  </si>
  <si>
    <t>Lefkoşa</t>
  </si>
  <si>
    <t>Gazi Mağusa</t>
  </si>
  <si>
    <t>Girne</t>
  </si>
  <si>
    <t>Kind of product</t>
  </si>
  <si>
    <t>Nicosia</t>
  </si>
  <si>
    <t>Famagusta</t>
  </si>
  <si>
    <t>Kyrenia</t>
  </si>
  <si>
    <t>1.Valensiya - Valencia</t>
  </si>
  <si>
    <t xml:space="preserve">   a)Alan (dön) -Area (donum).</t>
  </si>
  <si>
    <t xml:space="preserve">   b)İhracata uygun ürün- Exportable (ton)</t>
  </si>
  <si>
    <t xml:space="preserve">   c)İhracata uygun olmayan - Unexportable (ton)</t>
  </si>
  <si>
    <t>2.Yafa - Shiamouti</t>
  </si>
  <si>
    <t>3.Vaşington - Washington</t>
  </si>
  <si>
    <t>4.Mandarin -Tangerines &amp; Clementines</t>
  </si>
  <si>
    <t>5.Limon-Lemon</t>
  </si>
  <si>
    <t>6.Greyfrut-Grapefruit</t>
  </si>
  <si>
    <t xml:space="preserve">                                                      Dışsatım-Export</t>
  </si>
  <si>
    <t>Portakal</t>
  </si>
  <si>
    <t>Limon</t>
  </si>
  <si>
    <t>Mandarin</t>
  </si>
  <si>
    <t>Muhtelif</t>
  </si>
  <si>
    <t>Orange</t>
  </si>
  <si>
    <t>Grapefruit</t>
  </si>
  <si>
    <t>Lemon</t>
  </si>
  <si>
    <t>Tangerine</t>
  </si>
  <si>
    <t>Others</t>
  </si>
  <si>
    <t>İnek - Davar Yemi</t>
  </si>
  <si>
    <t>Torpedo EC</t>
  </si>
  <si>
    <t>Herbisit</t>
  </si>
  <si>
    <t>Nematisit</t>
  </si>
  <si>
    <t>Rodentisit</t>
  </si>
  <si>
    <t>d)Narenciye-Citrus</t>
  </si>
  <si>
    <t>c)Patates-Potatoes</t>
  </si>
  <si>
    <t xml:space="preserve">  i)Arpa-Barley</t>
  </si>
  <si>
    <t xml:space="preserve">    ii)Buğday-Wheat</t>
  </si>
  <si>
    <t xml:space="preserve"> Traktör-Tractor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</si>
  <si>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</si>
  <si>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</si>
  <si>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</si>
  <si>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</si>
  <si>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</si>
  <si>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</si>
  <si>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</si>
  <si>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</si>
  <si>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</si>
  <si>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 xml:space="preserve">                                               İç tüketim-Domestic consumption</t>
  </si>
  <si>
    <t xml:space="preserve">                                  Sanayi tüketimi-Industrial Consumption</t>
  </si>
  <si>
    <t>2002-03</t>
  </si>
  <si>
    <t xml:space="preserve">      Genel</t>
  </si>
  <si>
    <t>Sera ve tünel</t>
  </si>
  <si>
    <t>Total area of tunnels</t>
  </si>
  <si>
    <t>Honey</t>
  </si>
  <si>
    <t>b)Sera ve Tünellerde yetiştirilen bazı önemli bitki ekim alanı (m2), verim (kg/dekar) ve üretimi (ton)</t>
  </si>
  <si>
    <t xml:space="preserve">   Area (m2), yields (kg/dekar) &amp; production (ton) of main crops in Greenhouses &amp;Tunnels</t>
  </si>
  <si>
    <t xml:space="preserve">              HIYAR-CUCUMBERS</t>
  </si>
  <si>
    <t xml:space="preserve">             KABAK-SQUASHES</t>
  </si>
  <si>
    <t xml:space="preserve">        Sera -Green House</t>
  </si>
  <si>
    <t xml:space="preserve">           Tünel-Tunnel</t>
  </si>
  <si>
    <t xml:space="preserve">       Sera -Green House</t>
  </si>
  <si>
    <t>FASULYE-BEANS</t>
  </si>
  <si>
    <t xml:space="preserve">          DOMATES-TOMATOES</t>
  </si>
  <si>
    <t>Kazalar -Districts</t>
  </si>
  <si>
    <t xml:space="preserve">Lefkoşa </t>
  </si>
  <si>
    <t xml:space="preserve">G.Mağusa </t>
  </si>
  <si>
    <t xml:space="preserve">Girne </t>
  </si>
  <si>
    <t xml:space="preserve">KKTC </t>
  </si>
  <si>
    <t>Bitkiler - Crops</t>
  </si>
  <si>
    <t xml:space="preserve"> Famagusta</t>
  </si>
  <si>
    <t xml:space="preserve"> Kyrenia</t>
  </si>
  <si>
    <t>1.Yağlı tohumlar - Oil seed</t>
  </si>
  <si>
    <r>
      <t>Yulaf-</t>
    </r>
    <r>
      <rPr>
        <i/>
        <sz val="20"/>
        <rFont val="Times New Roman"/>
        <family val="1"/>
      </rPr>
      <t>Oat</t>
    </r>
  </si>
  <si>
    <r>
      <t>Pirinç-</t>
    </r>
    <r>
      <rPr>
        <i/>
        <sz val="20"/>
        <rFont val="Times New Roman"/>
        <family val="1"/>
      </rPr>
      <t>Rice</t>
    </r>
  </si>
  <si>
    <r>
      <t>Bulgur-</t>
    </r>
    <r>
      <rPr>
        <i/>
        <sz val="20"/>
        <rFont val="Times New Roman"/>
        <family val="1"/>
      </rPr>
      <t>Boil.wheat</t>
    </r>
  </si>
  <si>
    <r>
      <t>Mısır(yemlik)</t>
    </r>
    <r>
      <rPr>
        <i/>
        <sz val="20"/>
        <rFont val="Times New Roman"/>
        <family val="1"/>
      </rPr>
      <t>-Corn(fodder)</t>
    </r>
  </si>
  <si>
    <r>
      <t>Un-</t>
    </r>
    <r>
      <rPr>
        <i/>
        <sz val="20"/>
        <rFont val="Times New Roman"/>
        <family val="1"/>
      </rPr>
      <t>Flour</t>
    </r>
  </si>
  <si>
    <r>
      <t>1. Tarımsal Arazi -</t>
    </r>
    <r>
      <rPr>
        <i/>
        <sz val="14"/>
        <rFont val="Times New Roman"/>
        <family val="1"/>
      </rPr>
      <t xml:space="preserve"> Agricultural Land</t>
    </r>
  </si>
  <si>
    <r>
      <t>2. Orman Arazisi -</t>
    </r>
    <r>
      <rPr>
        <i/>
        <sz val="14"/>
        <rFont val="Times New Roman"/>
        <family val="1"/>
      </rPr>
      <t xml:space="preserve"> Forest Land</t>
    </r>
  </si>
  <si>
    <r>
      <t>3. Hali ve Mera Arazisi -</t>
    </r>
    <r>
      <rPr>
        <i/>
        <sz val="14"/>
        <rFont val="Times New Roman"/>
        <family val="1"/>
      </rPr>
      <t xml:space="preserve"> Grazing and Hali Land</t>
    </r>
  </si>
  <si>
    <r>
      <t>İrmik</t>
    </r>
    <r>
      <rPr>
        <i/>
        <sz val="20"/>
        <rFont val="Times New Roman"/>
        <family val="1"/>
      </rPr>
      <t>-Semolina</t>
    </r>
  </si>
  <si>
    <r>
      <t>Kakao-</t>
    </r>
    <r>
      <rPr>
        <i/>
        <sz val="20"/>
        <rFont val="Times New Roman"/>
        <family val="1"/>
      </rPr>
      <t>Cocao</t>
    </r>
  </si>
  <si>
    <r>
      <t>Susam</t>
    </r>
    <r>
      <rPr>
        <i/>
        <sz val="20"/>
        <rFont val="Times New Roman"/>
        <family val="1"/>
      </rPr>
      <t>-Sesame</t>
    </r>
  </si>
  <si>
    <r>
      <t>Patates</t>
    </r>
    <r>
      <rPr>
        <i/>
        <sz val="20"/>
        <rFont val="Times New Roman"/>
        <family val="1"/>
      </rPr>
      <t>-Potatoes</t>
    </r>
  </si>
  <si>
    <r>
      <t>Sarmısak-</t>
    </r>
    <r>
      <rPr>
        <i/>
        <sz val="20"/>
        <rFont val="Times New Roman"/>
        <family val="1"/>
      </rPr>
      <t>Dry garlic</t>
    </r>
  </si>
  <si>
    <r>
      <t>Mor lahana</t>
    </r>
    <r>
      <rPr>
        <i/>
        <sz val="20"/>
        <rFont val="Times New Roman"/>
        <family val="1"/>
      </rPr>
      <t>-Purple Cabbage</t>
    </r>
  </si>
  <si>
    <r>
      <t>Marul</t>
    </r>
    <r>
      <rPr>
        <i/>
        <sz val="20"/>
        <rFont val="Times New Roman"/>
        <family val="1"/>
      </rPr>
      <t>-Lettuce</t>
    </r>
  </si>
  <si>
    <r>
      <t>Maydanoz-</t>
    </r>
    <r>
      <rPr>
        <i/>
        <sz val="20"/>
        <rFont val="Times New Roman"/>
        <family val="1"/>
      </rPr>
      <t>Parsley</t>
    </r>
  </si>
  <si>
    <r>
      <t>Nane</t>
    </r>
    <r>
      <rPr>
        <i/>
        <sz val="20"/>
        <rFont val="Times New Roman"/>
        <family val="1"/>
      </rPr>
      <t>-Mint</t>
    </r>
  </si>
  <si>
    <r>
      <t>Pırasa</t>
    </r>
    <r>
      <rPr>
        <i/>
        <sz val="20"/>
        <rFont val="Times New Roman"/>
        <family val="1"/>
      </rPr>
      <t>-Leek</t>
    </r>
  </si>
  <si>
    <t xml:space="preserve">   Maydanoz - Parsley</t>
  </si>
  <si>
    <t xml:space="preserve">   Kereviz - Celery</t>
  </si>
  <si>
    <t xml:space="preserve">   Marul - Lettuce</t>
  </si>
  <si>
    <r>
      <t xml:space="preserve">    </t>
    </r>
    <r>
      <rPr>
        <i/>
        <sz val="14"/>
        <rFont val="Times New Roman"/>
        <family val="1"/>
      </rPr>
      <t>Town,Village,Rivers and Dome Land</t>
    </r>
  </si>
  <si>
    <r>
      <t xml:space="preserve">5. Kullanılmayan Arazi - </t>
    </r>
    <r>
      <rPr>
        <i/>
        <sz val="14"/>
        <rFont val="Times New Roman"/>
        <family val="1"/>
      </rPr>
      <t>Unused Land</t>
    </r>
  </si>
  <si>
    <r>
      <t xml:space="preserve">A- Ekilen Arazi - </t>
    </r>
    <r>
      <rPr>
        <b/>
        <i/>
        <sz val="14"/>
        <rFont val="Times New Roman"/>
        <family val="1"/>
      </rPr>
      <t>Cultivated Land</t>
    </r>
  </si>
  <si>
    <r>
      <t xml:space="preserve">    2) Nadas Arazi -</t>
    </r>
    <r>
      <rPr>
        <i/>
        <sz val="14"/>
        <rFont val="Times New Roman"/>
        <family val="1"/>
      </rPr>
      <t xml:space="preserve"> Fallow</t>
    </r>
  </si>
  <si>
    <r>
      <t xml:space="preserve">    3) Baklagiller - </t>
    </r>
    <r>
      <rPr>
        <i/>
        <sz val="14"/>
        <rFont val="Times New Roman"/>
        <family val="1"/>
      </rPr>
      <t>Pulses</t>
    </r>
  </si>
  <si>
    <r>
      <t xml:space="preserve">    5) Yağlı Tohumlar - </t>
    </r>
    <r>
      <rPr>
        <i/>
        <sz val="14"/>
        <rFont val="Times New Roman"/>
        <family val="1"/>
      </rPr>
      <t xml:space="preserve"> Oil Seeds</t>
    </r>
  </si>
  <si>
    <r>
      <t xml:space="preserve">       </t>
    </r>
    <r>
      <rPr>
        <i/>
        <sz val="14"/>
        <rFont val="Times New Roman"/>
        <family val="1"/>
      </rPr>
      <t xml:space="preserve"> </t>
    </r>
  </si>
  <si>
    <r>
      <t xml:space="preserve">    7) Yem Bitkileri -</t>
    </r>
    <r>
      <rPr>
        <i/>
        <sz val="14"/>
        <rFont val="Times New Roman"/>
        <family val="1"/>
      </rPr>
      <t xml:space="preserve"> Fodder Crops</t>
    </r>
  </si>
  <si>
    <r>
      <t xml:space="preserve"> 12) Diğer Sebzeler -</t>
    </r>
    <r>
      <rPr>
        <i/>
        <sz val="14"/>
        <rFont val="Times New Roman"/>
        <family val="1"/>
      </rPr>
      <t xml:space="preserve"> Other Vegetables</t>
    </r>
  </si>
  <si>
    <r>
      <t xml:space="preserve"> 13) Sert Kabuklu Meyveler - </t>
    </r>
    <r>
      <rPr>
        <i/>
        <sz val="14"/>
        <rFont val="Times New Roman"/>
        <family val="1"/>
      </rPr>
      <t>Nuts</t>
    </r>
  </si>
  <si>
    <r>
      <t xml:space="preserve"> 17) Turunçgil Meyveleri -</t>
    </r>
    <r>
      <rPr>
        <i/>
        <sz val="14"/>
        <rFont val="Times New Roman"/>
        <family val="1"/>
      </rPr>
      <t xml:space="preserve"> Citrus Fruits</t>
    </r>
  </si>
  <si>
    <r>
      <t xml:space="preserve">B) Ekilmeyen Arazi - </t>
    </r>
    <r>
      <rPr>
        <b/>
        <i/>
        <sz val="14"/>
        <rFont val="Times New Roman"/>
        <family val="1"/>
      </rPr>
      <t>Uncultivated  Land</t>
    </r>
  </si>
  <si>
    <r>
      <t xml:space="preserve">                        Toplam -</t>
    </r>
    <r>
      <rPr>
        <b/>
        <i/>
        <sz val="14"/>
        <rFont val="Times New Roman"/>
        <family val="1"/>
      </rPr>
      <t xml:space="preserve"> Total</t>
    </r>
  </si>
  <si>
    <t xml:space="preserve"> Gr. Broad Beans</t>
  </si>
  <si>
    <t xml:space="preserve">   Gr. Beans</t>
  </si>
  <si>
    <t xml:space="preserve">Fasulye (taze) </t>
  </si>
  <si>
    <t>Gr.Kidney Beans</t>
  </si>
  <si>
    <t>Keçi +Oğlak</t>
  </si>
  <si>
    <t xml:space="preserve">   Kolyandro - Coriander</t>
  </si>
  <si>
    <t>5.Meyvesi yenen sebzeler - Fruit bearing vegetables</t>
  </si>
  <si>
    <t xml:space="preserve">   Domates - Tomatoes</t>
  </si>
  <si>
    <t xml:space="preserve">   Hıyar - Cucumber </t>
  </si>
  <si>
    <t xml:space="preserve">   Patlıcan - Eggplant</t>
  </si>
  <si>
    <t xml:space="preserve">   Bamya - Okra</t>
  </si>
  <si>
    <t xml:space="preserve">   Biber - Pepper</t>
  </si>
  <si>
    <t xml:space="preserve">   Kabak - Squash</t>
  </si>
  <si>
    <t xml:space="preserve">   Kavun - Sweet Melon</t>
  </si>
  <si>
    <t xml:space="preserve">   Karpuz - Water Melon</t>
  </si>
  <si>
    <t>6.Baklagil sebzeleri - Leguminous vegetables</t>
  </si>
  <si>
    <t xml:space="preserve">   Bezelye - Peas</t>
  </si>
  <si>
    <t xml:space="preserve">   Bakla - Broad  beans</t>
  </si>
  <si>
    <t xml:space="preserve">   Böğrülce - Kidney beans</t>
  </si>
  <si>
    <t>7.Soğansı, yumru ve kök sebzeleri - Root, bulb and tuberous vegetables</t>
  </si>
  <si>
    <t xml:space="preserve">   Havuç - Carrot</t>
  </si>
  <si>
    <t xml:space="preserve">   Turp - Radish</t>
  </si>
  <si>
    <t>8.Diğer sebzeler - Other vegetables</t>
  </si>
  <si>
    <t xml:space="preserve">   Çiçek lahanası - Cauliflower</t>
  </si>
  <si>
    <t xml:space="preserve">   Alabaş - Kohlraby</t>
  </si>
  <si>
    <t>9.Sert kabuklu meyveler - Nuts</t>
  </si>
  <si>
    <t xml:space="preserve">    Badem-Almont</t>
  </si>
  <si>
    <t xml:space="preserve">    Antep Fıstığı-Pistacho</t>
  </si>
  <si>
    <t xml:space="preserve">    Ceviz - Walnuts</t>
  </si>
  <si>
    <t>10.Yumuşak çekirdekli meyveler - Pomefruits</t>
  </si>
  <si>
    <t xml:space="preserve">     Elma - Apples</t>
  </si>
  <si>
    <t xml:space="preserve">     Armut - Pears</t>
  </si>
  <si>
    <t xml:space="preserve">     Yenidünya - Loquats</t>
  </si>
  <si>
    <t>11.Taş çekirdekli meyveler - Stone fruits</t>
  </si>
  <si>
    <t xml:space="preserve">    Şeftali - Peaches</t>
  </si>
  <si>
    <t xml:space="preserve">    Erik - Plums</t>
  </si>
  <si>
    <t>12.Üzüm ve üzümsü meyveler -Grape and grape like fruits</t>
  </si>
  <si>
    <t xml:space="preserve">    İncir- Figs</t>
  </si>
  <si>
    <t xml:space="preserve">    Çilek - Strawberries</t>
  </si>
  <si>
    <t xml:space="preserve">    Sultani - Sultana Grapes</t>
  </si>
  <si>
    <t xml:space="preserve">    Rozaki - Rozaki grapes</t>
  </si>
  <si>
    <t xml:space="preserve">    Kardinal - Cardinal Grapes</t>
  </si>
  <si>
    <t xml:space="preserve">    Asma Talvarı - Vines on trel.</t>
  </si>
  <si>
    <t>13. Turunçgil meyveleri - Citrus fruits</t>
  </si>
  <si>
    <t>Tablo 27.Hayvan Varlığı - Animal Existence</t>
  </si>
  <si>
    <t xml:space="preserve">            Hayvan-Animal</t>
  </si>
  <si>
    <t xml:space="preserve">                    Tavukçuluk-Poultry *</t>
  </si>
  <si>
    <t>Sığır</t>
  </si>
  <si>
    <t>Koyun</t>
  </si>
  <si>
    <t>Keçi</t>
  </si>
  <si>
    <t>Y.Tavuğu</t>
  </si>
  <si>
    <t>Et Tavuğu</t>
  </si>
  <si>
    <t>Dam.Tavuk</t>
  </si>
  <si>
    <t>Bıldırcın*</t>
  </si>
  <si>
    <t>Modern</t>
  </si>
  <si>
    <t>Cattle</t>
  </si>
  <si>
    <t>Sheep</t>
  </si>
  <si>
    <t>Goats</t>
  </si>
  <si>
    <t>Layer</t>
  </si>
  <si>
    <t>Broiler</t>
  </si>
  <si>
    <t>Parent stock</t>
  </si>
  <si>
    <t>Quail</t>
  </si>
  <si>
    <t>Primitive</t>
  </si>
  <si>
    <t>Mod.type</t>
  </si>
  <si>
    <t>NA</t>
  </si>
  <si>
    <t>* Tavukculuk, bıldırcın ve arıcılık ile ilgili verilerin bölgelere göre dağılımı mevcut değildir.</t>
  </si>
  <si>
    <t>adet</t>
  </si>
  <si>
    <t xml:space="preserve">  Datas about poultry, quails and bees are not available for regions.</t>
  </si>
  <si>
    <t>Tablo 28.Üretim - Production</t>
  </si>
  <si>
    <t xml:space="preserve">           a)Et,Yavru ve Balık Üretimi - Meat,Breed &amp; Fish Production</t>
  </si>
  <si>
    <t>Balık*</t>
  </si>
  <si>
    <t>üretimi</t>
  </si>
  <si>
    <t>Sığır eti</t>
  </si>
  <si>
    <t>Koy+Kuzu</t>
  </si>
  <si>
    <t>Keçi+Oğlak</t>
  </si>
  <si>
    <t>Piliç*</t>
  </si>
  <si>
    <t>Buzağı</t>
  </si>
  <si>
    <t>Kuzu</t>
  </si>
  <si>
    <t>Oğlak</t>
  </si>
  <si>
    <t>Beef</t>
  </si>
  <si>
    <t>Lamb</t>
  </si>
  <si>
    <t>Kids</t>
  </si>
  <si>
    <t>Calves</t>
  </si>
  <si>
    <t>Product.</t>
  </si>
  <si>
    <t>mutton</t>
  </si>
  <si>
    <t>Meat</t>
  </si>
  <si>
    <t>Yapağı</t>
  </si>
  <si>
    <t>Üretimi(ton)</t>
  </si>
  <si>
    <t>İnek</t>
  </si>
  <si>
    <t xml:space="preserve">Toplam </t>
  </si>
  <si>
    <t>Büyükbaş</t>
  </si>
  <si>
    <t>Küçükbaş</t>
  </si>
  <si>
    <t>Wool Produc.</t>
  </si>
  <si>
    <t>Cow</t>
  </si>
  <si>
    <t xml:space="preserve">  Goats</t>
  </si>
  <si>
    <t>Sheep-Goat</t>
  </si>
  <si>
    <t>Yumurta</t>
  </si>
  <si>
    <t>Hellim</t>
  </si>
  <si>
    <t>Et</t>
  </si>
  <si>
    <t>üretimi(düz)</t>
  </si>
  <si>
    <t>Peynir</t>
  </si>
  <si>
    <t>Pastörize</t>
  </si>
  <si>
    <t>civcivi</t>
  </si>
  <si>
    <t>Egg Produc.</t>
  </si>
  <si>
    <t>Hallumi chees</t>
  </si>
  <si>
    <t>UHT milk</t>
  </si>
  <si>
    <t>Dağ</t>
  </si>
  <si>
    <t>Narenciye</t>
  </si>
  <si>
    <t>Adet-Per</t>
  </si>
  <si>
    <t>Dozen</t>
  </si>
  <si>
    <t>Mountain</t>
  </si>
  <si>
    <t>Citrus</t>
  </si>
  <si>
    <t>KKTC - TRNC</t>
  </si>
  <si>
    <t>Tablo 29.Fert Başına Et Tüketimi (kg) - Meat Consumption Per Capita (kg)</t>
  </si>
  <si>
    <t>Piliç</t>
  </si>
  <si>
    <t>Balık</t>
  </si>
  <si>
    <t>Lamb Mutton</t>
  </si>
  <si>
    <t>Kitsand</t>
  </si>
  <si>
    <t>Broiler Meat</t>
  </si>
  <si>
    <t>Fish</t>
  </si>
  <si>
    <t>Tablo 30.Veteriner Dairesi Çalışmaları - Veterinary Office Activities</t>
  </si>
  <si>
    <t xml:space="preserve">            Adet-Per</t>
  </si>
  <si>
    <t xml:space="preserve">                                  Koruyucu aşılar-Prophilactic vaccination</t>
  </si>
  <si>
    <t>Şap</t>
  </si>
  <si>
    <t>Enterotoxemia</t>
  </si>
  <si>
    <t xml:space="preserve">          Brusella Pozitif</t>
  </si>
  <si>
    <t>Mavi dil</t>
  </si>
  <si>
    <t>Foot &amp;</t>
  </si>
  <si>
    <t>Koyun-Keçi</t>
  </si>
  <si>
    <t>Virus</t>
  </si>
  <si>
    <t>DHPL</t>
  </si>
  <si>
    <t>Blue tanque</t>
  </si>
  <si>
    <t>Mouth dis.</t>
  </si>
  <si>
    <t>abortion</t>
  </si>
  <si>
    <t>Tablo 31.SÜTEK Çalışmaları - SÜTEK Activities</t>
  </si>
  <si>
    <t>Number of</t>
  </si>
  <si>
    <t>Tablo 32. Hayvan Verimliliği - Animal Productivity</t>
  </si>
  <si>
    <t xml:space="preserve">           Sığırda verimlilik</t>
  </si>
  <si>
    <t xml:space="preserve">          Koyunda verimlilik</t>
  </si>
  <si>
    <t xml:space="preserve">           Keçide verimlilik</t>
  </si>
  <si>
    <t>Yavru</t>
  </si>
  <si>
    <t>Süt</t>
  </si>
  <si>
    <t>Karkas</t>
  </si>
  <si>
    <t>Calve</t>
  </si>
  <si>
    <t>Milk</t>
  </si>
  <si>
    <t>Bodyweıght</t>
  </si>
  <si>
    <t>Kid</t>
  </si>
  <si>
    <t>Wool</t>
  </si>
  <si>
    <t>Kg</t>
  </si>
  <si>
    <t>Kg/hayvan</t>
  </si>
  <si>
    <t>KKTC-TRNC</t>
  </si>
  <si>
    <t>Tablo 33.Konsantre Yem Üretimi - Concentrated Feed Production</t>
  </si>
  <si>
    <t>Fabrika</t>
  </si>
  <si>
    <t xml:space="preserve">     Kanatlı yemi</t>
  </si>
  <si>
    <t>Fabrique</t>
  </si>
  <si>
    <t xml:space="preserve">     Poultry feeds</t>
  </si>
  <si>
    <t>Binboğa</t>
  </si>
  <si>
    <t>N.A</t>
  </si>
  <si>
    <t>Margo</t>
  </si>
  <si>
    <t>M.Hacı Ali</t>
  </si>
  <si>
    <t>Salih Çelebi</t>
  </si>
  <si>
    <t>Pakel</t>
  </si>
  <si>
    <t>Yıldırım</t>
  </si>
  <si>
    <t>Kudret</t>
  </si>
  <si>
    <t>Cahit Genç</t>
  </si>
  <si>
    <t>Levent Sanayi Ltd.</t>
  </si>
  <si>
    <t>Tarsan</t>
  </si>
  <si>
    <t>Tablo 34.Kesilen Hayvan ve Et Üretimi-Slaugtered Animal and Meat Production</t>
  </si>
  <si>
    <t>Toplam et</t>
  </si>
  <si>
    <t>üretimi (ton)</t>
  </si>
  <si>
    <t>ton</t>
  </si>
  <si>
    <t>Total Meat</t>
  </si>
  <si>
    <t>production</t>
  </si>
  <si>
    <t xml:space="preserve">                Sığır-Cattle</t>
  </si>
  <si>
    <t xml:space="preserve">              Koyun-Sheep</t>
  </si>
  <si>
    <t xml:space="preserve">               Keçi-Goats</t>
  </si>
  <si>
    <t>Maks</t>
  </si>
  <si>
    <t>Ort</t>
  </si>
  <si>
    <t>Min</t>
  </si>
  <si>
    <t>Max</t>
  </si>
  <si>
    <t>Ave</t>
  </si>
  <si>
    <t>Tablo 36.Kayıtlı balıkçı sayısı ve balıkçı tekneleri - No of Registered Fisherman &amp; Fishing Boats</t>
  </si>
  <si>
    <t xml:space="preserve">     Bölgeler-Regions</t>
  </si>
  <si>
    <t>1.Kayıtlı gemi sayısı</t>
  </si>
  <si>
    <t xml:space="preserve">   Registered fishing boats</t>
  </si>
  <si>
    <t>2.Faal gemi sayısı</t>
  </si>
  <si>
    <t xml:space="preserve">   Active fishing boats</t>
  </si>
  <si>
    <t>3.Trol sayısı</t>
  </si>
  <si>
    <t xml:space="preserve">   Travlers</t>
  </si>
  <si>
    <t>4.Faal trol sayısı</t>
  </si>
  <si>
    <t xml:space="preserve">   Actıve travlers</t>
  </si>
  <si>
    <t>5.Balıkçı sayısı</t>
  </si>
  <si>
    <t xml:space="preserve">   Fishermen</t>
  </si>
  <si>
    <t>6.Gırgır sayısı</t>
  </si>
  <si>
    <t xml:space="preserve">   Fishing B.(Surrounding Net)</t>
  </si>
  <si>
    <t>7.Faal gırgır sayısı</t>
  </si>
  <si>
    <t xml:space="preserve">   Active F.B.(Surrounding Net)</t>
  </si>
  <si>
    <t>Lefkoşa-Gemikonağı</t>
  </si>
  <si>
    <t xml:space="preserve">   Fisherman</t>
  </si>
  <si>
    <t>G.Mağusa-Famagusta</t>
  </si>
  <si>
    <t>Girne-Kyrenia</t>
  </si>
  <si>
    <t>Tablo 37.Kazalara ve bölgelere göre tarımsal araç-gereç varlığı - Number of agricultural machinery and equipment by districts and regions.</t>
  </si>
  <si>
    <t>Tırmık</t>
  </si>
  <si>
    <t>Tohum</t>
  </si>
  <si>
    <t xml:space="preserve">Kaz </t>
  </si>
  <si>
    <t>Freze</t>
  </si>
  <si>
    <t>Traktör</t>
  </si>
  <si>
    <t xml:space="preserve">Diskli </t>
  </si>
  <si>
    <t>Mibzer</t>
  </si>
  <si>
    <t>Güb.Serper</t>
  </si>
  <si>
    <t>Fide dikim</t>
  </si>
  <si>
    <t>Patat.ekim</t>
  </si>
  <si>
    <t>temizleme</t>
  </si>
  <si>
    <t>ayağı</t>
  </si>
  <si>
    <t>çapa</t>
  </si>
  <si>
    <t>Sabanı</t>
  </si>
  <si>
    <t>pulluk</t>
  </si>
  <si>
    <t>1-12 BG</t>
  </si>
  <si>
    <t>13-20 BG</t>
  </si>
  <si>
    <t>21 + BG</t>
  </si>
  <si>
    <t>Paletli</t>
  </si>
  <si>
    <t>Drill for</t>
  </si>
  <si>
    <t>Manure</t>
  </si>
  <si>
    <t>seedlings</t>
  </si>
  <si>
    <t>Potatoes</t>
  </si>
  <si>
    <t>Harrows</t>
  </si>
  <si>
    <t>Seed</t>
  </si>
  <si>
    <t>Sweep</t>
  </si>
  <si>
    <t>Rotary</t>
  </si>
  <si>
    <t>Track</t>
  </si>
  <si>
    <t>Disk</t>
  </si>
  <si>
    <t>1-12 HP</t>
  </si>
  <si>
    <t>13-20 HP</t>
  </si>
  <si>
    <t>21 + HP</t>
  </si>
  <si>
    <t>sowing</t>
  </si>
  <si>
    <t>Spreader</t>
  </si>
  <si>
    <t>planter</t>
  </si>
  <si>
    <t>cleaners</t>
  </si>
  <si>
    <t>machine</t>
  </si>
  <si>
    <t>hoe</t>
  </si>
  <si>
    <t>plow</t>
  </si>
  <si>
    <t>plows</t>
  </si>
  <si>
    <t xml:space="preserve">       Adet-Per</t>
  </si>
  <si>
    <t xml:space="preserve">     Kültivatör</t>
  </si>
  <si>
    <t>Kombay</t>
  </si>
  <si>
    <t>Harman</t>
  </si>
  <si>
    <t>Balya</t>
  </si>
  <si>
    <t>Ot toplama</t>
  </si>
  <si>
    <t>Silaj</t>
  </si>
  <si>
    <t>El Pül.</t>
  </si>
  <si>
    <t xml:space="preserve">  Sırt Pülvarizatörü</t>
  </si>
  <si>
    <t>Yaylı</t>
  </si>
  <si>
    <t>Diskli</t>
  </si>
  <si>
    <t>Combine</t>
  </si>
  <si>
    <t>Tresher</t>
  </si>
  <si>
    <t>Hay</t>
  </si>
  <si>
    <t>Bailer</t>
  </si>
  <si>
    <t>Hayrake</t>
  </si>
  <si>
    <t>Forrage</t>
  </si>
  <si>
    <t>Hand</t>
  </si>
  <si>
    <t>Wıth</t>
  </si>
  <si>
    <t>Without</t>
  </si>
  <si>
    <t>Stringed</t>
  </si>
  <si>
    <t>harvester</t>
  </si>
  <si>
    <t>hower</t>
  </si>
  <si>
    <t>Sprayer</t>
  </si>
  <si>
    <t>engine</t>
  </si>
  <si>
    <t>sprayer</t>
  </si>
  <si>
    <t>cultivator</t>
  </si>
  <si>
    <t>Ürünler</t>
  </si>
  <si>
    <t>GaziMağusa</t>
  </si>
  <si>
    <t xml:space="preserve">   Fasulye - Beans</t>
  </si>
  <si>
    <t>14.Sera ve Tüneller - Greenhouses and Tunnels</t>
  </si>
  <si>
    <t>Products</t>
  </si>
  <si>
    <t>Ercan Airport</t>
  </si>
  <si>
    <t>UHT giden</t>
  </si>
  <si>
    <t>Yoğurda giden</t>
  </si>
  <si>
    <t>Koyun sütü</t>
  </si>
  <si>
    <t>Keçi sütü</t>
  </si>
  <si>
    <t>SIĞIR</t>
  </si>
  <si>
    <t>KOYUN</t>
  </si>
  <si>
    <t>KEÇİ</t>
  </si>
  <si>
    <t>Famagusta Port</t>
  </si>
  <si>
    <t>Kyrenia Port</t>
  </si>
  <si>
    <t>Tahıllar - Cereals</t>
  </si>
  <si>
    <t>Buğday-Wheet</t>
  </si>
  <si>
    <t>Arpa-Barley</t>
  </si>
  <si>
    <t>Baklagil - Legumes</t>
  </si>
  <si>
    <t>Nohut-Chick peas</t>
  </si>
  <si>
    <t>Tütün-Tobacco</t>
  </si>
  <si>
    <t>Kahve-Coffee</t>
  </si>
  <si>
    <t>Çay-Tea</t>
  </si>
  <si>
    <t>Yumru Bitkiler- Tuber Crops</t>
  </si>
  <si>
    <t>Patates-Potatoes</t>
  </si>
  <si>
    <t>Kolokas-Kolocassy</t>
  </si>
  <si>
    <t>Yaprağı Yenen Sebzeler-Leafly or Edible Stem Vegetables</t>
  </si>
  <si>
    <t>Pazı-Garden orache</t>
  </si>
  <si>
    <t>Ispanak-Spinach</t>
  </si>
  <si>
    <t>Maydanoz-Parsley</t>
  </si>
  <si>
    <t>Kereviz-Celery</t>
  </si>
  <si>
    <t>S.Lahana-Cabbage</t>
  </si>
  <si>
    <t>Marul-Lettuce</t>
  </si>
  <si>
    <t>Meyvesi Yenen Sebzeler-Fruit Bearing Vegetables</t>
  </si>
  <si>
    <t>Domates-Tomatoes</t>
  </si>
  <si>
    <t>Hıyar-Cucumber</t>
  </si>
  <si>
    <t>Patlıcan-Eggplant</t>
  </si>
  <si>
    <t>Bamya-Okra</t>
  </si>
  <si>
    <t>Kavun-Melon</t>
  </si>
  <si>
    <t>Karpuz-W.Melon</t>
  </si>
  <si>
    <t>Taze Bakla-Green Broad Beans</t>
  </si>
  <si>
    <t>Soğan,Soğansı ve Kök Sebzeleri-Rot,Bulb and Tuberous Vegetables</t>
  </si>
  <si>
    <t>Taze Soğan-Green Onıon</t>
  </si>
  <si>
    <t>Havuç-Carrots</t>
  </si>
  <si>
    <t>Turp-Radishs</t>
  </si>
  <si>
    <t>Diğer Sebzeler-Other Vegetables</t>
  </si>
  <si>
    <t>Ç.lahana-Cauliflower</t>
  </si>
  <si>
    <t>Alabaş-Cohlraby</t>
  </si>
  <si>
    <t>Gömeç-Honeycomb</t>
  </si>
  <si>
    <t>Nane-Mint</t>
  </si>
  <si>
    <t>Hostes-Hostess</t>
  </si>
  <si>
    <t>Üzüm ve Üzümsü Meyveler-Grape and Grape-Like Fruits</t>
  </si>
  <si>
    <t>Nar</t>
  </si>
  <si>
    <t>Pomegranate</t>
  </si>
  <si>
    <t>İnbulc Carobs</t>
  </si>
  <si>
    <t>Öğütülmüş Harup</t>
  </si>
  <si>
    <t>Ground</t>
  </si>
  <si>
    <t>Harup çekirdeği</t>
  </si>
  <si>
    <t>Carob seed</t>
  </si>
  <si>
    <t>Siyah Zeytin</t>
  </si>
  <si>
    <t>Black olive</t>
  </si>
  <si>
    <t>Zeytin yağı</t>
  </si>
  <si>
    <t>Olive oil</t>
  </si>
  <si>
    <t>Sultani üzüm</t>
  </si>
  <si>
    <t xml:space="preserve">Sultana </t>
  </si>
  <si>
    <t>Diğerleri-Others</t>
  </si>
  <si>
    <t>Butter</t>
  </si>
  <si>
    <t>Tablo 39.Çıkış limanlarına göre Turunçgil ihracatı - Citrus exports by ports</t>
  </si>
  <si>
    <t>Ercan airport</t>
  </si>
  <si>
    <t>Famagusta port</t>
  </si>
  <si>
    <t>Kyrenia port</t>
  </si>
  <si>
    <t>Valensiya</t>
  </si>
  <si>
    <t>Valencia</t>
  </si>
  <si>
    <t>Yafa</t>
  </si>
  <si>
    <t>Shiamouti</t>
  </si>
  <si>
    <t>Vaşington-Washington</t>
  </si>
  <si>
    <t xml:space="preserve">Limon </t>
  </si>
  <si>
    <t>Misselangelous</t>
  </si>
  <si>
    <t>Genel toplam</t>
  </si>
  <si>
    <t>Concentrated Grapefruit</t>
  </si>
  <si>
    <t>Portakal konsantre</t>
  </si>
  <si>
    <t>Concentrated Orange</t>
  </si>
  <si>
    <t>Limon konsantre</t>
  </si>
  <si>
    <t>Concentrated Lemon</t>
  </si>
  <si>
    <t>Portakal kabuk yağı</t>
  </si>
  <si>
    <t>Orange parfume</t>
  </si>
  <si>
    <t>Limon kabuk yağı</t>
  </si>
  <si>
    <t>Lemon parfume</t>
  </si>
  <si>
    <t>Grapefruit parfume</t>
  </si>
  <si>
    <t>Tablo 40.Ülkelere Göre Turunçgil İhracatı - Citrus Export According To  Countries</t>
  </si>
  <si>
    <t>AET</t>
  </si>
  <si>
    <t>I.s limon-I.cl lemon</t>
  </si>
  <si>
    <t>Zeki Özdemir</t>
  </si>
  <si>
    <t xml:space="preserve">                 Live animal and animal products exports by ports.</t>
  </si>
  <si>
    <t>Canlı hayvan (adet)</t>
  </si>
  <si>
    <t>Live animal (per)</t>
  </si>
  <si>
    <t xml:space="preserve">  Dana</t>
  </si>
  <si>
    <t xml:space="preserve">  Calves</t>
  </si>
  <si>
    <t xml:space="preserve">  Kuzu</t>
  </si>
  <si>
    <t xml:space="preserve">  Lamb</t>
  </si>
  <si>
    <t xml:space="preserve">  Oğlak</t>
  </si>
  <si>
    <t xml:space="preserve">  Kid</t>
  </si>
  <si>
    <t xml:space="preserve">  Keçi</t>
  </si>
  <si>
    <t xml:space="preserve">  Koyun</t>
  </si>
  <si>
    <t xml:space="preserve">  Sheep</t>
  </si>
  <si>
    <t>Hayvansal ürün</t>
  </si>
  <si>
    <t xml:space="preserve">Animal products </t>
  </si>
  <si>
    <t xml:space="preserve">  Deri (Adet)</t>
  </si>
  <si>
    <t xml:space="preserve">  Dry skin (Per)</t>
  </si>
  <si>
    <t xml:space="preserve">  Barsak (Adet)</t>
  </si>
  <si>
    <t xml:space="preserve">  Casting (Per)</t>
  </si>
  <si>
    <t>Toplam  - Total</t>
  </si>
  <si>
    <t>Baklagiller - Legumes</t>
  </si>
  <si>
    <t>Yağlı Tohumlar-Oil Seed</t>
  </si>
  <si>
    <t>Yumru Bitkiler-Tuber Crops</t>
  </si>
  <si>
    <t>Patates Dondurulmuş</t>
  </si>
  <si>
    <t>Soğansı,Yumru ve Kök Bitkileri-Root,Bulb and Tuberous Vegetables</t>
  </si>
  <si>
    <t>Kazablanka</t>
  </si>
  <si>
    <t>Krizantem</t>
  </si>
  <si>
    <t>Urea (46:0:0)Fertilizer</t>
  </si>
  <si>
    <t>Sert Kabuklu Meyveler-Nuts</t>
  </si>
  <si>
    <t>Yumuşak Çekirdekli Meyveler-Pome Fruits</t>
  </si>
  <si>
    <t>Taş Çekirdekli Meyveler-Stone Fruits</t>
  </si>
  <si>
    <t>Erik</t>
  </si>
  <si>
    <t>Plums</t>
  </si>
  <si>
    <t>Apricot</t>
  </si>
  <si>
    <t xml:space="preserve">      Mandarin-Tangerines</t>
  </si>
  <si>
    <t>Şeftali</t>
  </si>
  <si>
    <t>Peaches</t>
  </si>
  <si>
    <t>Kiraz</t>
  </si>
  <si>
    <t>Cherries</t>
  </si>
  <si>
    <t>Kuru İncir</t>
  </si>
  <si>
    <t>Dry Figs</t>
  </si>
  <si>
    <t>Pomegrnate</t>
  </si>
  <si>
    <t>Muz</t>
  </si>
  <si>
    <t>Bananas</t>
  </si>
  <si>
    <t>Zeytin</t>
  </si>
  <si>
    <t>Olive</t>
  </si>
  <si>
    <t>Kuru Üzüm</t>
  </si>
  <si>
    <t>Dry Grapes</t>
  </si>
  <si>
    <t>Kivi</t>
  </si>
  <si>
    <t>Kiwi</t>
  </si>
  <si>
    <t>Diğer ithalatlar - Other imports</t>
  </si>
  <si>
    <t>Ayçiçeği çekirdeği.</t>
  </si>
  <si>
    <t>Sunflower seed</t>
  </si>
  <si>
    <t>Soya fasulyesi küspesi</t>
  </si>
  <si>
    <t xml:space="preserve">Soya bean oil cake </t>
  </si>
  <si>
    <t>Sunflower oil cake</t>
  </si>
  <si>
    <t>Bal</t>
  </si>
  <si>
    <t xml:space="preserve"> </t>
  </si>
  <si>
    <t>Adet - Per</t>
  </si>
  <si>
    <t>Armut Fidanı-Pear Plant</t>
  </si>
  <si>
    <t>Buğday-Wheat</t>
  </si>
  <si>
    <t xml:space="preserve">Baklagil Sebzeleri </t>
  </si>
  <si>
    <t>Süs-Saksılı Süs Bitkileri</t>
  </si>
  <si>
    <t>Gübre çeşidi</t>
  </si>
  <si>
    <t>Kind of fertilizer</t>
  </si>
  <si>
    <t>Bakla (kuru)-B. beans (dry)</t>
  </si>
  <si>
    <t>Potasol</t>
  </si>
  <si>
    <t>Z.ilaç çeşidi</t>
  </si>
  <si>
    <t>Kind of chemical</t>
  </si>
  <si>
    <t>Et ve et mamulleri</t>
  </si>
  <si>
    <t>Meat and meat products</t>
  </si>
  <si>
    <t>Donmuş ve konserve et</t>
  </si>
  <si>
    <t>Frozen and Cannet meat</t>
  </si>
  <si>
    <t>Beehive</t>
  </si>
  <si>
    <t xml:space="preserve">İlkel </t>
  </si>
  <si>
    <t>koyun sütü</t>
  </si>
  <si>
    <t>keçi sütü</t>
  </si>
  <si>
    <t>inek sütü</t>
  </si>
  <si>
    <t>DERİ ÜRETİMİ</t>
  </si>
  <si>
    <t>YAPAĞI</t>
  </si>
  <si>
    <t>Sucuk, Salam, Sosis</t>
  </si>
  <si>
    <t>Salamy, Sosage</t>
  </si>
  <si>
    <t>Kedi-Köpek Maması</t>
  </si>
  <si>
    <t>Cat and Dog Food</t>
  </si>
  <si>
    <t>Taze balık</t>
  </si>
  <si>
    <t>Fresh fish</t>
  </si>
  <si>
    <t>Frozen fish</t>
  </si>
  <si>
    <t>Konserve balık</t>
  </si>
  <si>
    <t>Canned fish</t>
  </si>
  <si>
    <t>Ürün</t>
  </si>
  <si>
    <t>Milk powder</t>
  </si>
  <si>
    <t>Condense milk</t>
  </si>
  <si>
    <t>İcecream</t>
  </si>
  <si>
    <t>Damızlık civciv (adet)</t>
  </si>
  <si>
    <t>Hatching chick (per)</t>
  </si>
  <si>
    <t>Sofralık yumurta (düz)</t>
  </si>
  <si>
    <t>Commertial egg (dozen)</t>
  </si>
  <si>
    <t>Krema</t>
  </si>
  <si>
    <t>Creame</t>
  </si>
  <si>
    <t xml:space="preserve">Cabbage </t>
  </si>
  <si>
    <t>Okra</t>
  </si>
  <si>
    <t>Cim Tohumu</t>
  </si>
  <si>
    <t>Favetta</t>
  </si>
  <si>
    <t>Bakla (taze)</t>
  </si>
  <si>
    <t>Böğrülce (taze)</t>
  </si>
  <si>
    <t>Actagro</t>
  </si>
  <si>
    <t>Kimyevi Gübre 20-20-20</t>
  </si>
  <si>
    <t>NPK (20+20+20+Te Folıar)</t>
  </si>
  <si>
    <t>POLY-N (10-36-0)</t>
  </si>
  <si>
    <t>Tayo Gross</t>
  </si>
  <si>
    <t>Neoron  Lt</t>
  </si>
  <si>
    <t>Tenopa SC</t>
  </si>
  <si>
    <t>Fumigant</t>
  </si>
  <si>
    <t>Kayısı</t>
  </si>
  <si>
    <t>Enginar-Artichokes (Kg)</t>
  </si>
  <si>
    <t xml:space="preserve">   Suluda Karpuz- Melons irrigatted</t>
  </si>
  <si>
    <t>Amonyum Sulfat (21.0.0) Kgs</t>
  </si>
  <si>
    <t>Akarisit</t>
  </si>
  <si>
    <t>Kg/da</t>
  </si>
  <si>
    <t xml:space="preserve">    Muz - Bananas</t>
  </si>
  <si>
    <t xml:space="preserve">    Nar - Pomegranates</t>
  </si>
  <si>
    <t xml:space="preserve">      </t>
  </si>
  <si>
    <t xml:space="preserve">       Root, Bulb and Tuberous Vegetables</t>
  </si>
  <si>
    <t xml:space="preserve">       </t>
  </si>
  <si>
    <t>İskele</t>
  </si>
  <si>
    <t xml:space="preserve">  Sera -Green House</t>
  </si>
  <si>
    <t xml:space="preserve"> b)Süt,  deri, gübre ve yapağı üretimi - Milk, skin, natural manure  and wool  production</t>
  </si>
  <si>
    <t>a)Narenciye-Citrus</t>
  </si>
  <si>
    <t>Haksahibi</t>
  </si>
  <si>
    <r>
      <t xml:space="preserve">A : Kuru tarım arazisinin toplam ekili arazi içerisindeki payı - </t>
    </r>
    <r>
      <rPr>
        <i/>
        <sz val="12"/>
        <rFont val="Times New Roman"/>
        <family val="1"/>
      </rPr>
      <t>Share of dry land in total cultivated land.</t>
    </r>
  </si>
  <si>
    <r>
      <t xml:space="preserve">B : Sulu tarım arazisinin toplam ekili arazi içerisindeki payı - </t>
    </r>
    <r>
      <rPr>
        <i/>
        <sz val="12"/>
        <rFont val="Times New Roman"/>
        <family val="1"/>
      </rPr>
      <t>Share of irrigated  land in total cultivated land</t>
    </r>
    <r>
      <rPr>
        <sz val="12"/>
        <rFont val="Times New Roman"/>
        <family val="1"/>
      </rPr>
      <t>.</t>
    </r>
  </si>
  <si>
    <t>Dö</t>
  </si>
  <si>
    <t>Month</t>
  </si>
  <si>
    <t>Sebtemper</t>
  </si>
  <si>
    <t xml:space="preserve">Kuraklık+Gübre </t>
  </si>
  <si>
    <t>(Drought+Manure)</t>
  </si>
  <si>
    <t>Paid Subsidies</t>
  </si>
  <si>
    <t>GÜZELYURT</t>
  </si>
  <si>
    <t>İSKELE</t>
  </si>
  <si>
    <t>2005-06</t>
  </si>
  <si>
    <t>* Ekili alan suluya ve gönene ekim alanıdır. -Area sown is the same for irrigated and not irrigated land.</t>
  </si>
  <si>
    <t xml:space="preserve">  Fıstık-Groundnuts</t>
  </si>
  <si>
    <t xml:space="preserve">  Susam-Sesame</t>
  </si>
  <si>
    <t>pırasa 1 dö 3,5 ton ürün elde edilir.</t>
  </si>
  <si>
    <t xml:space="preserve"> Marul-Lettuce</t>
  </si>
  <si>
    <t xml:space="preserve"> İskele</t>
  </si>
  <si>
    <t>* Piliç ve balık eti üretimi bölgelere göre mevcut değildir.* Fish and broiler meat production are not available for regions.</t>
  </si>
  <si>
    <t xml:space="preserve">   Dairy - Sheep &amp; Goat(ton)</t>
  </si>
  <si>
    <t xml:space="preserve">             (ton)</t>
  </si>
  <si>
    <t>Kendi yemini yapanlar</t>
  </si>
  <si>
    <t xml:space="preserve">II.s yafa-II.cl shiamouti </t>
  </si>
  <si>
    <t>I. s Mandarin-I.cl Tangerine</t>
  </si>
  <si>
    <t>Peynir Shellal</t>
  </si>
  <si>
    <t>Shellal Cheese</t>
  </si>
  <si>
    <t>Kasar Cheese</t>
  </si>
  <si>
    <r>
      <t>Kahve çekirdeği-</t>
    </r>
    <r>
      <rPr>
        <i/>
        <sz val="20"/>
        <rFont val="Times New Roman"/>
        <family val="1"/>
      </rPr>
      <t>Coffee beans</t>
    </r>
  </si>
  <si>
    <r>
      <t>Arpa(yemlik)-</t>
    </r>
    <r>
      <rPr>
        <i/>
        <sz val="20"/>
        <rFont val="Times New Roman"/>
        <family val="1"/>
      </rPr>
      <t>Barley(fodder)</t>
    </r>
  </si>
  <si>
    <r>
      <t>Leblebi-</t>
    </r>
    <r>
      <rPr>
        <i/>
        <sz val="20"/>
        <rFont val="Times New Roman"/>
        <family val="1"/>
      </rPr>
      <t>Procced Chick peas</t>
    </r>
  </si>
  <si>
    <r>
      <rPr>
        <sz val="20"/>
        <rFont val="Times New Roman"/>
        <family val="1"/>
      </rPr>
      <t>K.soğan-</t>
    </r>
    <r>
      <rPr>
        <i/>
        <sz val="20"/>
        <rFont val="Times New Roman"/>
        <family val="1"/>
      </rPr>
      <t>Dry onions</t>
    </r>
  </si>
  <si>
    <t>Acrocan 8-0-30</t>
  </si>
  <si>
    <t>Ammonium Nitrate (%33)</t>
  </si>
  <si>
    <t>Fertelite 23.7.23+2+TE</t>
  </si>
  <si>
    <t xml:space="preserve">Greencan </t>
  </si>
  <si>
    <t>KTS (0-0-24-16S)</t>
  </si>
  <si>
    <t>Multi -NPK 12-2-44</t>
  </si>
  <si>
    <t>NPK (20+20+20+MGO )</t>
  </si>
  <si>
    <t>NPK ( 15,15,15)</t>
  </si>
  <si>
    <t>NZN (13-0-0-4.5ZN)</t>
  </si>
  <si>
    <t>Nutri CAL(8-0-0+%8Ca)</t>
  </si>
  <si>
    <t xml:space="preserve">Potasyum nitrat 13-0-46 </t>
  </si>
  <si>
    <t>Sıvı Gübre</t>
  </si>
  <si>
    <t>Tayo Wett</t>
  </si>
  <si>
    <t>Rusus</t>
  </si>
  <si>
    <t>Çiçek-Muhtelif Çiçek Soğanı  Kg</t>
  </si>
  <si>
    <t>Süs Bitkisi  ( Soğan)</t>
  </si>
  <si>
    <t>Muhtelif Süs Bitkisi ( Fidan )</t>
  </si>
  <si>
    <t>Portakal Fidanı- Orange Plant</t>
  </si>
  <si>
    <t>Bean</t>
  </si>
  <si>
    <t>Beet Red DETROİT 243</t>
  </si>
  <si>
    <t>Cauliflower Eary Snowball</t>
  </si>
  <si>
    <t>Cucumber - Byblos Fı</t>
  </si>
  <si>
    <t>Fiğ  Tohumu</t>
  </si>
  <si>
    <t xml:space="preserve">Lettuce  Parris Island GREEN COS </t>
  </si>
  <si>
    <t>Melon Sweet Ananas Fl</t>
  </si>
  <si>
    <t>Mısır Tohumu - Türkiye</t>
  </si>
  <si>
    <t xml:space="preserve">Onion  Texas Early Grano </t>
  </si>
  <si>
    <t>Parsley-Maydanoz Tohumu</t>
  </si>
  <si>
    <t>Peas Scout</t>
  </si>
  <si>
    <t>Pepper - ( Californiya Wonder)</t>
  </si>
  <si>
    <t>Radish - Kırmızı İri</t>
  </si>
  <si>
    <t>Sorghum Sudangrass Seed Variety 988</t>
  </si>
  <si>
    <t>Süs Bitkisi  (Tohum)</t>
  </si>
  <si>
    <t>Squash  (White Bush Fl  Hybrid)</t>
  </si>
  <si>
    <t>Tomato Heinz 1350</t>
  </si>
  <si>
    <t>Watermelon Crimson Knight Fl</t>
  </si>
  <si>
    <t>Dondurulmuş pizza-köfte</t>
  </si>
  <si>
    <t>Yoğurt,Meyveli yoğurt</t>
  </si>
  <si>
    <t>Yoghurt,Fruited Yoghurt</t>
  </si>
  <si>
    <t>Plamec 18</t>
  </si>
  <si>
    <t>Yoksorrun 5 EC</t>
  </si>
  <si>
    <t>Quick Bayt</t>
  </si>
  <si>
    <t>Angel</t>
  </si>
  <si>
    <t>Bravo</t>
  </si>
  <si>
    <t>Doctore MZ 72</t>
  </si>
  <si>
    <t>Ferstline Bakır</t>
  </si>
  <si>
    <t>Hasswill</t>
  </si>
  <si>
    <t>Hektaneb M-22</t>
  </si>
  <si>
    <t>Hektaş Bakır</t>
  </si>
  <si>
    <t>Hexil 5 SC</t>
  </si>
  <si>
    <t>Labicuper</t>
  </si>
  <si>
    <t>Nodul 5 SC</t>
  </si>
  <si>
    <t>Pladal 50 WP</t>
  </si>
  <si>
    <t>Planet</t>
  </si>
  <si>
    <t>Quadris</t>
  </si>
  <si>
    <t>Trooper 72 WP</t>
  </si>
  <si>
    <t>Veliyette</t>
  </si>
  <si>
    <t>Vurgaren</t>
  </si>
  <si>
    <t>Boxer</t>
  </si>
  <si>
    <t>Gramaxone</t>
  </si>
  <si>
    <t>Helga Super</t>
  </si>
  <si>
    <t>Paraksone</t>
  </si>
  <si>
    <t>Algamek 1,8 EC</t>
  </si>
  <si>
    <t>Arrivo 20 EC</t>
  </si>
  <si>
    <t>Arrivo 25 EC</t>
  </si>
  <si>
    <t>Avaund</t>
  </si>
  <si>
    <t>Best Siper 25 EC</t>
  </si>
  <si>
    <t>Deltarin 2,5 EC</t>
  </si>
  <si>
    <t>Didivip EC 550</t>
  </si>
  <si>
    <t>Effore 20 SP</t>
  </si>
  <si>
    <t>Ferskor 40 EC</t>
  </si>
  <si>
    <t>Fersim DDVP</t>
  </si>
  <si>
    <t>Hekthion %2 Dust</t>
  </si>
  <si>
    <t>Hekthion %5 Dust</t>
  </si>
  <si>
    <t>Jupiter 25 EC</t>
  </si>
  <si>
    <t>Karate Zeon</t>
  </si>
  <si>
    <t>Kral 250 EC</t>
  </si>
  <si>
    <t>Laser</t>
  </si>
  <si>
    <t>Placide 40 EC</t>
  </si>
  <si>
    <t>Proclaim</t>
  </si>
  <si>
    <t>Sanomyl 90 SP</t>
  </si>
  <si>
    <t>Suprakor</t>
  </si>
  <si>
    <t>Mobile 20 EC</t>
  </si>
  <si>
    <t>Furunax DS</t>
  </si>
  <si>
    <t>Racumin Paste</t>
  </si>
  <si>
    <t>Farmavet</t>
  </si>
  <si>
    <t>Source: General Agriculture Insurance Fund</t>
  </si>
  <si>
    <t>Fiğ-Cow Vetches</t>
  </si>
  <si>
    <r>
      <t xml:space="preserve">    1)Tahıl Arazisi -</t>
    </r>
    <r>
      <rPr>
        <i/>
        <sz val="14"/>
        <rFont val="Times New Roman"/>
        <family val="1"/>
      </rPr>
      <t xml:space="preserve">  Cereals</t>
    </r>
  </si>
  <si>
    <r>
      <t xml:space="preserve">              Doğal Afet-</t>
    </r>
    <r>
      <rPr>
        <b/>
        <i/>
        <sz val="18"/>
        <rFont val="Times New Roman TUR"/>
        <family val="1"/>
      </rPr>
      <t>Naturel Calamity</t>
    </r>
  </si>
  <si>
    <r>
      <t>Ölüm-</t>
    </r>
    <r>
      <rPr>
        <b/>
        <i/>
        <sz val="18"/>
        <rFont val="Times New Roman TUR"/>
        <family val="1"/>
      </rPr>
      <t>Daed</t>
    </r>
  </si>
  <si>
    <r>
      <t>İtlaf-</t>
    </r>
    <r>
      <rPr>
        <b/>
        <i/>
        <sz val="18"/>
        <rFont val="Times New Roman TUR"/>
        <family val="1"/>
      </rPr>
      <t>Killing</t>
    </r>
  </si>
  <si>
    <r>
      <t>Kesim-</t>
    </r>
    <r>
      <rPr>
        <b/>
        <i/>
        <sz val="18"/>
        <rFont val="Times New Roman TUR"/>
        <family val="1"/>
      </rPr>
      <t>Cutting</t>
    </r>
  </si>
  <si>
    <r>
      <t>Ölüm-</t>
    </r>
    <r>
      <rPr>
        <b/>
        <i/>
        <sz val="18"/>
        <rFont val="Times New Roman TUR"/>
        <family val="1"/>
      </rPr>
      <t>Death</t>
    </r>
  </si>
  <si>
    <t xml:space="preserve">     Greyfurt-Grapefruits</t>
  </si>
  <si>
    <r>
      <t xml:space="preserve">Tablo 8.Tahıllar - </t>
    </r>
    <r>
      <rPr>
        <b/>
        <i/>
        <sz val="14"/>
        <rFont val="Times New Roman"/>
        <family val="1"/>
      </rPr>
      <t>Cereals</t>
    </r>
  </si>
  <si>
    <t xml:space="preserve"> Pamuk-Cotton Lint</t>
  </si>
  <si>
    <r>
      <t>* Kuru ve taze soğan ekim alanları aynıdır (Bak Tablo 18)-</t>
    </r>
    <r>
      <rPr>
        <i/>
        <sz val="14"/>
        <rFont val="Times New Roman TUR"/>
        <family val="1"/>
      </rPr>
      <t>Area sown is the same for dry and fresh onions (See Table 18).</t>
    </r>
  </si>
  <si>
    <t>Prod.</t>
  </si>
  <si>
    <t xml:space="preserve">     Antepfıstığı-Pistachio</t>
  </si>
  <si>
    <t>Guzelyurt</t>
  </si>
  <si>
    <t>Iskele</t>
  </si>
  <si>
    <t>b)İhracata uygun ürün- Exportable (ton)</t>
  </si>
  <si>
    <t>a)Alan (dön) -Area (donum)</t>
  </si>
  <si>
    <t>c)İhracata uygun olmayan-Unexportable (ton)</t>
  </si>
  <si>
    <t>Adet/da</t>
  </si>
  <si>
    <t>Sera-</t>
  </si>
  <si>
    <t xml:space="preserve"> Tünel-</t>
  </si>
  <si>
    <t xml:space="preserve"> c)Civciv, Yumurta, Hellim, Pastörize Süt ve Bal  Üretimi - Chick, Egg, Hallumi, UHT Milk &amp; Honey Production</t>
  </si>
  <si>
    <t xml:space="preserve">Koyun+Kuzu    </t>
  </si>
  <si>
    <r>
      <t>Türkiye-</t>
    </r>
    <r>
      <rPr>
        <b/>
        <i/>
        <sz val="20"/>
        <rFont val="Times New Roman TUR"/>
        <family val="1"/>
      </rPr>
      <t>Turkey</t>
    </r>
  </si>
  <si>
    <r>
      <t>Rusya-</t>
    </r>
    <r>
      <rPr>
        <b/>
        <i/>
        <sz val="20"/>
        <rFont val="Times New Roman TUR"/>
        <family val="1"/>
      </rPr>
      <t>Russia</t>
    </r>
  </si>
  <si>
    <r>
      <t>Ukrayna-</t>
    </r>
    <r>
      <rPr>
        <b/>
        <i/>
        <sz val="20"/>
        <rFont val="Times New Roman TUR"/>
        <family val="1"/>
      </rPr>
      <t>Ukraine</t>
    </r>
  </si>
  <si>
    <r>
      <t>Irak</t>
    </r>
    <r>
      <rPr>
        <b/>
        <i/>
        <sz val="20"/>
        <rFont val="Times New Roman TUR"/>
        <family val="1"/>
      </rPr>
      <t>-Iraq</t>
    </r>
  </si>
  <si>
    <r>
      <t>Domates</t>
    </r>
    <r>
      <rPr>
        <i/>
        <sz val="18"/>
        <rFont val="Times New Roman"/>
        <family val="1"/>
      </rPr>
      <t>-Tomatoes</t>
    </r>
  </si>
  <si>
    <r>
      <t>Hıyar-</t>
    </r>
    <r>
      <rPr>
        <i/>
        <sz val="18"/>
        <rFont val="Times New Roman"/>
        <family val="1"/>
      </rPr>
      <t>Cucumber</t>
    </r>
  </si>
  <si>
    <r>
      <t>Patlıcan</t>
    </r>
    <r>
      <rPr>
        <i/>
        <sz val="18"/>
        <rFont val="Times New Roman"/>
        <family val="1"/>
      </rPr>
      <t>-Eggplant</t>
    </r>
  </si>
  <si>
    <r>
      <t>Bamya dondurulmuş-</t>
    </r>
    <r>
      <rPr>
        <i/>
        <sz val="18"/>
        <rFont val="Times New Roman"/>
        <family val="1"/>
      </rPr>
      <t xml:space="preserve">Frozen okra </t>
    </r>
  </si>
  <si>
    <r>
      <t>Kabak</t>
    </r>
    <r>
      <rPr>
        <i/>
        <sz val="18"/>
        <rFont val="Times New Roman"/>
        <family val="1"/>
      </rPr>
      <t>-Squash</t>
    </r>
  </si>
  <si>
    <r>
      <t>Kavun</t>
    </r>
    <r>
      <rPr>
        <i/>
        <sz val="18"/>
        <rFont val="Times New Roman"/>
        <family val="1"/>
      </rPr>
      <t>-Melon</t>
    </r>
  </si>
  <si>
    <r>
      <t>Karpuz</t>
    </r>
    <r>
      <rPr>
        <i/>
        <sz val="18"/>
        <rFont val="Times New Roman"/>
        <family val="1"/>
      </rPr>
      <t>-Watermelon</t>
    </r>
  </si>
  <si>
    <r>
      <t>Mantar dondurulmuş-</t>
    </r>
    <r>
      <rPr>
        <i/>
        <sz val="18"/>
        <rFont val="Times New Roman"/>
        <family val="1"/>
      </rPr>
      <t>Frozen mushroom</t>
    </r>
  </si>
  <si>
    <r>
      <t>Mantar Miseli-</t>
    </r>
    <r>
      <rPr>
        <i/>
        <sz val="18"/>
        <rFont val="Times New Roman"/>
        <family val="1"/>
      </rPr>
      <t>Miselium of mushroom</t>
    </r>
  </si>
  <si>
    <r>
      <t>Fasulye (Taze)-</t>
    </r>
    <r>
      <rPr>
        <i/>
        <sz val="18"/>
        <rFont val="Times New Roman"/>
        <family val="1"/>
      </rPr>
      <t>Fresh Beans</t>
    </r>
  </si>
  <si>
    <r>
      <t xml:space="preserve">Fasulye dondurulmuş- </t>
    </r>
    <r>
      <rPr>
        <i/>
        <sz val="18"/>
        <rFont val="Times New Roman"/>
        <family val="1"/>
      </rPr>
      <t>Frozen beans</t>
    </r>
  </si>
  <si>
    <r>
      <t>Barbunya-</t>
    </r>
    <r>
      <rPr>
        <i/>
        <sz val="18"/>
        <rFont val="Times New Roman"/>
        <family val="1"/>
      </rPr>
      <t>Kidney Beans</t>
    </r>
  </si>
  <si>
    <r>
      <t>Bezelye Dondurulmuş-</t>
    </r>
    <r>
      <rPr>
        <i/>
        <sz val="18"/>
        <rFont val="Times New Roman"/>
        <family val="1"/>
      </rPr>
      <t>Frozen peas</t>
    </r>
  </si>
  <si>
    <r>
      <rPr>
        <sz val="18"/>
        <rFont val="Times New Roman"/>
        <family val="1"/>
      </rPr>
      <t>Bakla Dondurulmuş</t>
    </r>
    <r>
      <rPr>
        <i/>
        <sz val="18"/>
        <rFont val="Times New Roman"/>
        <family val="1"/>
      </rPr>
      <t xml:space="preserve">-Frozen green broad beans </t>
    </r>
  </si>
  <si>
    <r>
      <t>Turp</t>
    </r>
    <r>
      <rPr>
        <i/>
        <sz val="18"/>
        <rFont val="Times New Roman"/>
        <family val="1"/>
      </rPr>
      <t>-Radish</t>
    </r>
  </si>
  <si>
    <r>
      <t>Fıstık-</t>
    </r>
    <r>
      <rPr>
        <i/>
        <sz val="18"/>
        <rFont val="Times New Roman"/>
        <family val="1"/>
      </rPr>
      <t>Groundnuts</t>
    </r>
  </si>
  <si>
    <r>
      <t>İç Fıstık</t>
    </r>
    <r>
      <rPr>
        <i/>
        <sz val="18"/>
        <rFont val="Times New Roman"/>
        <family val="1"/>
      </rPr>
      <t>-G.nut seed</t>
    </r>
  </si>
  <si>
    <r>
      <t>İç Antep Fıstığı</t>
    </r>
    <r>
      <rPr>
        <i/>
        <sz val="18"/>
        <rFont val="Times New Roman"/>
        <family val="1"/>
      </rPr>
      <t>-Pistachios seed</t>
    </r>
  </si>
  <si>
    <r>
      <t>Fındık</t>
    </r>
    <r>
      <rPr>
        <i/>
        <sz val="18"/>
        <rFont val="Times New Roman"/>
        <family val="1"/>
      </rPr>
      <t>-Hazelnuts</t>
    </r>
  </si>
  <si>
    <r>
      <t>İç Fındık</t>
    </r>
    <r>
      <rPr>
        <i/>
        <sz val="18"/>
        <rFont val="Times New Roman"/>
        <family val="1"/>
      </rPr>
      <t>-Hazel.seed</t>
    </r>
  </si>
  <si>
    <r>
      <t>İç Badem</t>
    </r>
    <r>
      <rPr>
        <i/>
        <sz val="18"/>
        <rFont val="Times New Roman"/>
        <family val="1"/>
      </rPr>
      <t>-Alm.Seed</t>
    </r>
  </si>
  <si>
    <r>
      <t>Kestane</t>
    </r>
    <r>
      <rPr>
        <i/>
        <sz val="18"/>
        <rFont val="Times New Roman"/>
        <family val="1"/>
      </rPr>
      <t>-Chestnuts</t>
    </r>
  </si>
  <si>
    <r>
      <t>Ceviz</t>
    </r>
    <r>
      <rPr>
        <i/>
        <sz val="18"/>
        <rFont val="Times New Roman"/>
        <family val="1"/>
      </rPr>
      <t>-Walnuts</t>
    </r>
  </si>
  <si>
    <r>
      <t>İç Ceviz</t>
    </r>
    <r>
      <rPr>
        <i/>
        <sz val="18"/>
        <rFont val="Times New Roman"/>
        <family val="1"/>
      </rPr>
      <t>-Waln.seed</t>
    </r>
  </si>
  <si>
    <r>
      <t>Hind.Cevizi</t>
    </r>
    <r>
      <rPr>
        <i/>
        <sz val="18"/>
        <rFont val="Times New Roman"/>
        <family val="1"/>
      </rPr>
      <t>-Coconut</t>
    </r>
  </si>
  <si>
    <r>
      <t>Hind.Cevizi rende</t>
    </r>
    <r>
      <rPr>
        <i/>
        <sz val="18"/>
        <rFont val="Times New Roman"/>
        <family val="1"/>
      </rPr>
      <t>-Coconut</t>
    </r>
  </si>
  <si>
    <r>
      <t>Armut</t>
    </r>
    <r>
      <rPr>
        <i/>
        <sz val="18"/>
        <rFont val="Times New Roman"/>
        <family val="1"/>
      </rPr>
      <t>-Pears</t>
    </r>
  </si>
  <si>
    <r>
      <t>Elma</t>
    </r>
    <r>
      <rPr>
        <i/>
        <sz val="18"/>
        <rFont val="Times New Roman"/>
        <family val="1"/>
      </rPr>
      <t>-Apples</t>
    </r>
  </si>
  <si>
    <r>
      <t>Ayva-</t>
    </r>
    <r>
      <rPr>
        <i/>
        <sz val="18"/>
        <rFont val="Times New Roman"/>
        <family val="1"/>
      </rPr>
      <t>Quinces</t>
    </r>
  </si>
  <si>
    <r>
      <t>Kabak çekirdeği</t>
    </r>
    <r>
      <rPr>
        <i/>
        <sz val="18"/>
        <rFont val="Times New Roman TUR"/>
        <family val="0"/>
      </rPr>
      <t>-Squash seed</t>
    </r>
  </si>
  <si>
    <r>
      <t>Çeşitli Baharat-</t>
    </r>
    <r>
      <rPr>
        <i/>
        <sz val="18"/>
        <rFont val="Times New Roman TUR"/>
        <family val="0"/>
      </rPr>
      <t>Spiceses</t>
    </r>
  </si>
  <si>
    <r>
      <t>Kuş yemi</t>
    </r>
    <r>
      <rPr>
        <i/>
        <sz val="18"/>
        <rFont val="Times New Roman TUR"/>
        <family val="0"/>
      </rPr>
      <t>-Bird feed</t>
    </r>
  </si>
  <si>
    <t>Damızlık yumurta (düz)</t>
  </si>
  <si>
    <t>Hatching egg (dozen)</t>
  </si>
  <si>
    <t xml:space="preserve">   i)Arpa-Buğday-Gübre</t>
  </si>
  <si>
    <t xml:space="preserve">   ii)Yulaf-Oats</t>
  </si>
  <si>
    <t xml:space="preserve">    Gübre-Manure</t>
  </si>
  <si>
    <t xml:space="preserve">     Barley-Wheat-Manure</t>
  </si>
  <si>
    <t xml:space="preserve">  ii)Buğday-Wheat</t>
  </si>
  <si>
    <t xml:space="preserve">  iii)Yulaf-Oats</t>
  </si>
  <si>
    <t xml:space="preserve">    iii)Yulaf-Oats</t>
  </si>
  <si>
    <t xml:space="preserve">Kaynak: Genel Tarım Sigortası Fonu    </t>
  </si>
  <si>
    <t xml:space="preserve">  Source: General Agriculture Insurance Fund</t>
  </si>
  <si>
    <t>Burçak-Wild Vetches</t>
  </si>
  <si>
    <t>Milk products (Kg)</t>
  </si>
  <si>
    <t xml:space="preserve">  Yapağı (Kg)</t>
  </si>
  <si>
    <t xml:space="preserve">  Wool (Kg)</t>
  </si>
  <si>
    <t>Sarma Lahanası-Cabbage</t>
  </si>
  <si>
    <t>Pazı-Garden Orache</t>
  </si>
  <si>
    <t xml:space="preserve"> Molohiya-Molohia</t>
  </si>
  <si>
    <t xml:space="preserve"> Maydanoz-Parsley</t>
  </si>
  <si>
    <t xml:space="preserve"> Kereviz-Celery</t>
  </si>
  <si>
    <t>Hıyar-Cucumbers</t>
  </si>
  <si>
    <t xml:space="preserve"> Domates-Tomatoes</t>
  </si>
  <si>
    <t xml:space="preserve"> Patlıcan-Eggplants</t>
  </si>
  <si>
    <t xml:space="preserve"> Bamya-Okra</t>
  </si>
  <si>
    <t xml:space="preserve"> Biber-Peppers  </t>
  </si>
  <si>
    <t>Kabak-Squash</t>
  </si>
  <si>
    <t>Suluda Kavun-S. Melons irrigatted</t>
  </si>
  <si>
    <t xml:space="preserve">  </t>
  </si>
  <si>
    <t>* Ekili alan hem kuru hem taze için aynıdır-Area sown is the same for dry and green.</t>
  </si>
  <si>
    <t xml:space="preserve">                Muz-Bananas</t>
  </si>
  <si>
    <t xml:space="preserve">                      İncir-Figs</t>
  </si>
  <si>
    <t xml:space="preserve">             Nar-Pomegranates </t>
  </si>
  <si>
    <t xml:space="preserve">        Zerdali.Kayısı-Apricots</t>
  </si>
  <si>
    <t xml:space="preserve">                Şeftali-Peaches</t>
  </si>
  <si>
    <t xml:space="preserve">                  Erik-Plums</t>
  </si>
  <si>
    <t xml:space="preserve">                 Zeytin-Olive</t>
  </si>
  <si>
    <t xml:space="preserve">   Sultani-Sultana Grapes</t>
  </si>
  <si>
    <t xml:space="preserve">       Rozaki -Rozaki Grapes</t>
  </si>
  <si>
    <t xml:space="preserve">                Harup-Carobs</t>
  </si>
  <si>
    <t xml:space="preserve">   Beyaz Üzüm-White Grapes</t>
  </si>
  <si>
    <t xml:space="preserve">    Malağa-Malaga Grapes</t>
  </si>
  <si>
    <t>Green Houses (m²)</t>
  </si>
  <si>
    <t>Tunnels (m²)</t>
  </si>
  <si>
    <t xml:space="preserve">and greenhouses(m²) </t>
  </si>
  <si>
    <t>arazisi toplamı(m²)</t>
  </si>
  <si>
    <t>m²</t>
  </si>
  <si>
    <t xml:space="preserve"> Tavuk-Chicken</t>
  </si>
  <si>
    <t xml:space="preserve">    Keçi-Goats</t>
  </si>
  <si>
    <t xml:space="preserve">    Koyun-Sheep</t>
  </si>
  <si>
    <t xml:space="preserve">   Sığır-Cattle</t>
  </si>
  <si>
    <t>Endüstri Bitkileri- Industrial Plants</t>
  </si>
  <si>
    <t>Kuru Böğrülce-Dry Kidney beens</t>
  </si>
  <si>
    <t>II.s Mandarin-II.cl Tangerine</t>
  </si>
  <si>
    <t>Endüstri Bitkileri-Industrial Crops</t>
  </si>
  <si>
    <t>Luvana-Louvana</t>
  </si>
  <si>
    <t>Pırasa-Leek</t>
  </si>
  <si>
    <t xml:space="preserve">  Area and type  of Greenhouses &amp; Tunnels by regions</t>
  </si>
  <si>
    <t xml:space="preserve">a)Bölgelere ve tiplerine göre Sera ve Tünel varlığı  </t>
  </si>
  <si>
    <t>d) Turunçgillerde Üretim ve Pazarlama - Production &amp; Marketing of Citrus</t>
  </si>
  <si>
    <r>
      <t>Tablo 24. Sera ve Tüneller -</t>
    </r>
    <r>
      <rPr>
        <b/>
        <i/>
        <sz val="22"/>
        <rFont val="Times New Roman TUR"/>
        <family val="0"/>
      </rPr>
      <t xml:space="preserve"> Greenhouses &amp; Tunnels</t>
    </r>
    <r>
      <rPr>
        <b/>
        <sz val="22"/>
        <rFont val="Times New Roman TUR"/>
        <family val="1"/>
      </rPr>
      <t xml:space="preserve"> (m²)</t>
    </r>
  </si>
  <si>
    <t>c)Sera ve Tünellerde yetiştirilen bazı önemli bitki ekim alanı (m²), verim (kg/dekar) ve üretimi (ton)</t>
  </si>
  <si>
    <t xml:space="preserve">   Area (m²), yields (kg/dekar) &amp; production (ton) of main crops in Greenhouses &amp;Tunnels</t>
  </si>
  <si>
    <t>d)Sera ve Tünellerde yetiştirilen bazı önemli bitki ekim alanı (m²), verim (kg/dekar) ve üretimi (ton)</t>
  </si>
  <si>
    <t>2006-07</t>
  </si>
  <si>
    <t>üretim</t>
  </si>
  <si>
    <t>portakal</t>
  </si>
  <si>
    <t>greyfurt</t>
  </si>
  <si>
    <t xml:space="preserve">limon </t>
  </si>
  <si>
    <t>mandarin</t>
  </si>
  <si>
    <t>valensiya</t>
  </si>
  <si>
    <t>yafa</t>
  </si>
  <si>
    <t>vaşington</t>
  </si>
  <si>
    <t>toplam</t>
  </si>
  <si>
    <t xml:space="preserve">  Böğrülce (kuru)-Kidney bn. (dry)</t>
  </si>
  <si>
    <t>Özener Yemcilik</t>
  </si>
  <si>
    <t>Ali Kızılkan</t>
  </si>
  <si>
    <t>3.Balıkçı sayısı</t>
  </si>
  <si>
    <t xml:space="preserve">Harup </t>
  </si>
  <si>
    <t>Zeytin (Salamura)</t>
  </si>
  <si>
    <t>ısk yafa -dis shiamouti</t>
  </si>
  <si>
    <t>II.s limon-II.cl lemon</t>
  </si>
  <si>
    <t>II.s g/furt-II. cl g/fruit</t>
  </si>
  <si>
    <r>
      <rPr>
        <sz val="20"/>
        <rFont val="Times New Roman"/>
        <family val="1"/>
      </rPr>
      <t>Brüksel lahanası</t>
    </r>
    <r>
      <rPr>
        <i/>
        <sz val="20"/>
        <rFont val="Times New Roman"/>
        <family val="1"/>
      </rPr>
      <t>-Br. cabbage</t>
    </r>
  </si>
  <si>
    <r>
      <t>Çiçek lahanası-</t>
    </r>
    <r>
      <rPr>
        <i/>
        <sz val="20"/>
        <rFont val="Times New Roman"/>
        <family val="1"/>
      </rPr>
      <t>Cabbage</t>
    </r>
  </si>
  <si>
    <r>
      <t>Kuru nane-</t>
    </r>
    <r>
      <rPr>
        <i/>
        <sz val="20"/>
        <rFont val="Times New Roman"/>
        <family val="1"/>
      </rPr>
      <t>Dry mint</t>
    </r>
  </si>
  <si>
    <r>
      <t>Biber-</t>
    </r>
    <r>
      <rPr>
        <i/>
        <sz val="18"/>
        <rFont val="Times New Roman"/>
        <family val="1"/>
      </rPr>
      <t>Fresh pepper</t>
    </r>
  </si>
  <si>
    <r>
      <t>Barbunya Dondurulmuş-</t>
    </r>
    <r>
      <rPr>
        <i/>
        <sz val="18"/>
        <rFont val="Times New Roman"/>
        <family val="1"/>
      </rPr>
      <t>Frozen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K.Beans</t>
    </r>
  </si>
  <si>
    <r>
      <t>Havuç Dondurulmuş-</t>
    </r>
    <r>
      <rPr>
        <i/>
        <sz val="18"/>
        <rFont val="Times New Roman"/>
        <family val="1"/>
      </rPr>
      <t>Frozen Carrots</t>
    </r>
  </si>
  <si>
    <r>
      <t>Antep Fıstığı</t>
    </r>
    <r>
      <rPr>
        <i/>
        <sz val="18"/>
        <rFont val="Times New Roman"/>
        <family val="1"/>
      </rPr>
      <t>-Pistachios</t>
    </r>
  </si>
  <si>
    <r>
      <t>Taze fındık-</t>
    </r>
    <r>
      <rPr>
        <i/>
        <sz val="18"/>
        <rFont val="Times New Roman"/>
        <family val="1"/>
      </rPr>
      <t>Fresh Hazelnuts</t>
    </r>
  </si>
  <si>
    <r>
      <t>Badem-</t>
    </r>
    <r>
      <rPr>
        <i/>
        <sz val="18"/>
        <rFont val="Times New Roman"/>
        <family val="1"/>
      </rPr>
      <t>Almond</t>
    </r>
  </si>
  <si>
    <t>Kuru Kaysı</t>
  </si>
  <si>
    <t>Dry Apricot</t>
  </si>
  <si>
    <t>Kuru erik</t>
  </si>
  <si>
    <t>Dry Plums</t>
  </si>
  <si>
    <r>
      <t>Kuru Elma-</t>
    </r>
    <r>
      <rPr>
        <i/>
        <sz val="18"/>
        <rFont val="Times New Roman"/>
        <family val="1"/>
      </rPr>
      <t>Dry Apples</t>
    </r>
  </si>
  <si>
    <t>Pineapples</t>
  </si>
  <si>
    <t>Ananas</t>
  </si>
  <si>
    <t>Çiçek Tohumu</t>
  </si>
  <si>
    <t>PatatesTohumluk  (Güney  Kıbrıs )</t>
  </si>
  <si>
    <t xml:space="preserve">Sebze Tohumu  ( Muhtelif )  </t>
  </si>
  <si>
    <t>Spinach Energie Fl Hybr</t>
  </si>
  <si>
    <t>Tritikale ( Buğday )</t>
  </si>
  <si>
    <t>Avokado Fidanı Ad.-Avagado Plant</t>
  </si>
  <si>
    <t>Cilek Fidesi Ad.-Strawberry Plant</t>
  </si>
  <si>
    <t>Elma Fidanı Ad.-Apple Plant</t>
  </si>
  <si>
    <t>Greyfruit Fidanı-Grapefruit Plant</t>
  </si>
  <si>
    <t>Incir Fidanı Ad.-Figs Plant</t>
  </si>
  <si>
    <t>Astomelyi</t>
  </si>
  <si>
    <t>NP 20.20.00</t>
  </si>
  <si>
    <t>Actagro Seven</t>
  </si>
  <si>
    <t>Nutri Phite Magnum</t>
  </si>
  <si>
    <t>Bolikel Fe</t>
  </si>
  <si>
    <t>OLKİM K-T-S</t>
  </si>
  <si>
    <t>Organex</t>
  </si>
  <si>
    <t>KTS ( 0-0-25-17S )</t>
  </si>
  <si>
    <t>Tayo Humic</t>
  </si>
  <si>
    <t xml:space="preserve">Tayo Min </t>
  </si>
  <si>
    <t>Dondurulmuş kanatlı ürünü</t>
  </si>
  <si>
    <t>Keçiboynuzu Fidanı- Carops Plant</t>
  </si>
  <si>
    <t>Toplam-Total    (b+c)</t>
  </si>
  <si>
    <t xml:space="preserve">         Gübre üretimi (Ton)</t>
  </si>
  <si>
    <t xml:space="preserve">          Productivity in sheep</t>
  </si>
  <si>
    <t xml:space="preserve">          Productivity in cattle</t>
  </si>
  <si>
    <t xml:space="preserve">          Productivity in goats</t>
  </si>
  <si>
    <t>Hexorun 5 EC</t>
  </si>
  <si>
    <t>Agrimec</t>
  </si>
  <si>
    <t>Contest EC</t>
  </si>
  <si>
    <t>Jolly</t>
  </si>
  <si>
    <t>Newborn</t>
  </si>
  <si>
    <t>Romectin</t>
  </si>
  <si>
    <t>Torque 550 SC</t>
  </si>
  <si>
    <t>Alida</t>
  </si>
  <si>
    <t>Aviso WG</t>
  </si>
  <si>
    <t>Labimethyl</t>
  </si>
  <si>
    <t>Mancozeb 80 WP</t>
  </si>
  <si>
    <t>Paddock 35 DS</t>
  </si>
  <si>
    <t>Pilben</t>
  </si>
  <si>
    <t>Switch</t>
  </si>
  <si>
    <t>Helmisit</t>
  </si>
  <si>
    <t>Basagran</t>
  </si>
  <si>
    <t>Goal</t>
  </si>
  <si>
    <t>Korfosat</t>
  </si>
  <si>
    <t>Linurex 45 SC</t>
  </si>
  <si>
    <t>Oscar</t>
  </si>
  <si>
    <t>Venzar</t>
  </si>
  <si>
    <t>Dart 20 EC</t>
  </si>
  <si>
    <t>Karate Max</t>
  </si>
  <si>
    <t>Matador 200 EC</t>
  </si>
  <si>
    <t>Mosetam 20 SP</t>
  </si>
  <si>
    <t>Basamid</t>
  </si>
  <si>
    <t>Methyl Bromide %98</t>
  </si>
  <si>
    <t>Diğer</t>
  </si>
  <si>
    <t>Imperator Lt</t>
  </si>
  <si>
    <t>Hektovet Lt</t>
  </si>
  <si>
    <t>Frozen chicken meat</t>
  </si>
  <si>
    <t>Böğrülce Fidesi- Kidney Beans Plant</t>
  </si>
  <si>
    <t>Kolyandro-Coriander</t>
  </si>
  <si>
    <t>Olive(Pickle)</t>
  </si>
  <si>
    <r>
      <t>Ceviz (Kabuklu)-</t>
    </r>
    <r>
      <rPr>
        <i/>
        <sz val="14"/>
        <rFont val="Times New Roman"/>
        <family val="1"/>
      </rPr>
      <t>Walnut</t>
    </r>
  </si>
  <si>
    <t>Gulumbra</t>
  </si>
  <si>
    <r>
      <t>K.Soğan-</t>
    </r>
    <r>
      <rPr>
        <i/>
        <sz val="12"/>
        <rFont val="Times New Roman"/>
        <family val="1"/>
      </rPr>
      <t>Dry.Onion</t>
    </r>
  </si>
  <si>
    <r>
      <t>Kolandro-</t>
    </r>
    <r>
      <rPr>
        <i/>
        <sz val="12"/>
        <rFont val="Times New Roman"/>
        <family val="1"/>
      </rPr>
      <t>Coriander</t>
    </r>
  </si>
  <si>
    <r>
      <t>Biber(Yeşil)-</t>
    </r>
    <r>
      <rPr>
        <i/>
        <sz val="12"/>
        <rFont val="Times New Roman"/>
        <family val="1"/>
      </rPr>
      <t>Pepper (Green)</t>
    </r>
  </si>
  <si>
    <r>
      <t>Kabak-</t>
    </r>
    <r>
      <rPr>
        <i/>
        <sz val="12"/>
        <rFont val="Times New Roman"/>
        <family val="1"/>
      </rPr>
      <t>Squashes</t>
    </r>
  </si>
  <si>
    <r>
      <t>Taze Fasulye-</t>
    </r>
    <r>
      <rPr>
        <i/>
        <sz val="12"/>
        <rFont val="Times New Roman"/>
        <family val="1"/>
      </rPr>
      <t>Green Beans</t>
    </r>
  </si>
  <si>
    <t xml:space="preserve">Tablo 41.Çıkış limanlarına göre canlı hayvan ve hayvansal ürün ihracatı </t>
  </si>
  <si>
    <t xml:space="preserve">                                                                                                                                </t>
  </si>
  <si>
    <t>Tablo 42. Kontrol yerlerine göre ithalatlar - İmports by kontrol points.</t>
  </si>
  <si>
    <r>
      <t>Sarma lahana-</t>
    </r>
    <r>
      <rPr>
        <i/>
        <sz val="20"/>
        <rFont val="Times New Roman"/>
        <family val="1"/>
      </rPr>
      <t>Cabbage</t>
    </r>
  </si>
  <si>
    <t>Kaynak: Veteriner Dairesi Müdürlüğü ve SÜTEK</t>
  </si>
  <si>
    <t>Tablo 42. Kontrol yerlerine göre ithalatlar  (devam)- İmports by kontrol points (cont.).</t>
  </si>
  <si>
    <t>Tablo 43.Giriş limanlarına göre tohum ithalatı - Seed imports by ports</t>
  </si>
  <si>
    <r>
      <t>Arpa(tohumluk)-</t>
    </r>
    <r>
      <rPr>
        <i/>
        <sz val="20"/>
        <rFont val="Times New Roman"/>
        <family val="1"/>
      </rPr>
      <t>Barley(Seed)</t>
    </r>
  </si>
  <si>
    <t xml:space="preserve">                                   Süt üretimi (Ton)</t>
  </si>
  <si>
    <t xml:space="preserve">                               Milk production (Ton)</t>
  </si>
  <si>
    <t xml:space="preserve">                      Deri üretimi (Adet)</t>
  </si>
  <si>
    <t xml:space="preserve">            Skin and Hides production (Per)</t>
  </si>
  <si>
    <t xml:space="preserve">        Suni tohumlanan</t>
  </si>
  <si>
    <t xml:space="preserve">             inek adeti</t>
  </si>
  <si>
    <t xml:space="preserve">               Artificially </t>
  </si>
  <si>
    <t xml:space="preserve">         inceminated cow</t>
  </si>
  <si>
    <t xml:space="preserve">      Toplam</t>
  </si>
  <si>
    <t>Hasat harman makineleri - Harvesting machines</t>
  </si>
  <si>
    <t xml:space="preserve">  Pülvarizatörler-Agr.Sprayer</t>
  </si>
  <si>
    <t xml:space="preserve">       Ekim Dikim makineleri-Drill machines</t>
  </si>
  <si>
    <t>Ot biçme</t>
  </si>
  <si>
    <t>Tablo 44. Giriş Limanlarına Göre Fidan İthalatı-Plant Import by Ports</t>
  </si>
  <si>
    <t>Tablo 45.  Giriş limanlarına göre çiçek ithalatı - Flower imports by ports</t>
  </si>
  <si>
    <t>Tablo 46. Giriş limanlarına göre suni gübre ithalatı-Fertilizer imports by ports</t>
  </si>
  <si>
    <t>Tablo 47.Zirai ilaç ithalatı-Agricultural chemical  imports.</t>
  </si>
  <si>
    <t>Tablo 47(devam).Zirai ilaç ithalatı-Agricultural chemical  imports.</t>
  </si>
  <si>
    <t xml:space="preserve"> Siyah Üzüm-Black Grapes</t>
  </si>
  <si>
    <r>
      <t>Romanya-</t>
    </r>
    <r>
      <rPr>
        <b/>
        <i/>
        <sz val="20"/>
        <rFont val="Times New Roman TUR"/>
        <family val="0"/>
      </rPr>
      <t>Rumania</t>
    </r>
  </si>
  <si>
    <r>
      <t>İran-</t>
    </r>
    <r>
      <rPr>
        <b/>
        <i/>
        <sz val="20"/>
        <rFont val="Times New Roman TUR"/>
        <family val="0"/>
      </rPr>
      <t>İran</t>
    </r>
  </si>
  <si>
    <t>2007-08</t>
  </si>
  <si>
    <t>Ödenen(TL)</t>
  </si>
  <si>
    <t>TL</t>
  </si>
  <si>
    <t>Molohiya(kuru)-Molohiya(dry)</t>
  </si>
  <si>
    <r>
      <t>AB-27-</t>
    </r>
    <r>
      <rPr>
        <b/>
        <i/>
        <sz val="20"/>
        <rFont val="Times New Roman TUR"/>
        <family val="0"/>
      </rPr>
      <t>EU-27</t>
    </r>
  </si>
  <si>
    <t>ısk. Mandarin-Dis Tangerine</t>
  </si>
  <si>
    <t>ıskarta limon-discart lemon</t>
  </si>
  <si>
    <t>ıskarta g/furt-discart g/fruit</t>
  </si>
  <si>
    <r>
      <rPr>
        <sz val="18"/>
        <rFont val="Times New Roman"/>
        <family val="1"/>
      </rPr>
      <t>Mantar</t>
    </r>
    <r>
      <rPr>
        <i/>
        <sz val="18"/>
        <rFont val="Times New Roman"/>
        <family val="1"/>
      </rPr>
      <t>- Mushroom</t>
    </r>
  </si>
  <si>
    <t>Zeytin Salamura</t>
  </si>
  <si>
    <t>Zeytin(yeşil)</t>
  </si>
  <si>
    <t>Green olive</t>
  </si>
  <si>
    <t>Zeytinyağı</t>
  </si>
  <si>
    <t>Balya( Buğday-Arpa-Yonca)</t>
  </si>
  <si>
    <t>Balya (Tahıl)</t>
  </si>
  <si>
    <t xml:space="preserve">Beans Strıngless Blue </t>
  </si>
  <si>
    <t>Brocoli</t>
  </si>
  <si>
    <t>Carrot</t>
  </si>
  <si>
    <t>Celery</t>
  </si>
  <si>
    <t>Eggplant - Pala</t>
  </si>
  <si>
    <t>Patates Tohumluk  ( Hollanda )</t>
  </si>
  <si>
    <t>Ayva Fidanı Ad.- Quince Plant</t>
  </si>
  <si>
    <t>Badem Fidanı Adet- Almond Plant</t>
  </si>
  <si>
    <t>Biber fidesi- Pepper Plant</t>
  </si>
  <si>
    <t>Brokoli Fidesi- Brocolli Plant</t>
  </si>
  <si>
    <t>Ceviz Fidanı Ad.- Walnut Plant</t>
  </si>
  <si>
    <t>Çiçek lahanası fidesi- Cauliflower Plant</t>
  </si>
  <si>
    <t>Erik Fidanı Ad.-Plum Plant</t>
  </si>
  <si>
    <t>Gulumbra fidesi</t>
  </si>
  <si>
    <t>Hurma Fidanı (Trabzon) Adet-Date Palm Plant(Trabzon)</t>
  </si>
  <si>
    <t>Kavun fidesi- Melon Plant</t>
  </si>
  <si>
    <t>Kayısı Fidanı Ad. -Apricot Plant</t>
  </si>
  <si>
    <t xml:space="preserve">Kiraz Fidanı Ad.- Cherry Plant  </t>
  </si>
  <si>
    <t>Kapari Fidanı- Capary Plant</t>
  </si>
  <si>
    <t>Mandarin Fidanı-Tangerine Plant</t>
  </si>
  <si>
    <t>Marul fidesi- Letus Plant</t>
  </si>
  <si>
    <t>Meyva Fidanı- Fruit Plant</t>
  </si>
  <si>
    <t>Muz Fidanı- Banana Plant</t>
  </si>
  <si>
    <t xml:space="preserve">Nar Fidanı  Ad.-Pomegranate Plant  </t>
  </si>
  <si>
    <t>Nektarin fidanı- Nectarin Plant</t>
  </si>
  <si>
    <t>Patlıcan fidesi- Eggplant Plant</t>
  </si>
  <si>
    <t>Salatalık Fidesi- Cucumber Plant</t>
  </si>
  <si>
    <t>Sarma Fidesi- Cabbage Plant</t>
  </si>
  <si>
    <t>Şabboy Fidesi</t>
  </si>
  <si>
    <t>Seftali fidanı- Peach Plant</t>
  </si>
  <si>
    <t>Vişne fidanı- Black cherry Plant</t>
  </si>
  <si>
    <t>Turunçgil fidanı- Citrus Plant</t>
  </si>
  <si>
    <t>Yenidünya fidanı- Loquad Plant</t>
  </si>
  <si>
    <t>Limonyum</t>
  </si>
  <si>
    <t>Çiçek Kesme</t>
  </si>
  <si>
    <t>Action DF Mix</t>
  </si>
  <si>
    <t>Azolfo</t>
  </si>
  <si>
    <t>Biocan</t>
  </si>
  <si>
    <t>Champion 15+30+15+1 MgO+ TE</t>
  </si>
  <si>
    <t>Fertelite 10.45.10+TE</t>
  </si>
  <si>
    <t>Ferro  Forte</t>
  </si>
  <si>
    <t>Fiesta</t>
  </si>
  <si>
    <t>Golden Drop Azot</t>
  </si>
  <si>
    <t>Golden Drop Dengeli</t>
  </si>
  <si>
    <t>Golden Drop Fosfor</t>
  </si>
  <si>
    <t>Golden  Nitrofer</t>
  </si>
  <si>
    <t>Golden Nitrozinc</t>
  </si>
  <si>
    <t>Golden Potas</t>
  </si>
  <si>
    <t>Grogreen Micro</t>
  </si>
  <si>
    <t>İdrosol</t>
  </si>
  <si>
    <t>Leafeed</t>
  </si>
  <si>
    <t>Leonardit</t>
  </si>
  <si>
    <t>NP ZN</t>
  </si>
  <si>
    <t>NMG</t>
  </si>
  <si>
    <t>NU - ZİM</t>
  </si>
  <si>
    <t>Potex</t>
  </si>
  <si>
    <t>Removesal</t>
  </si>
  <si>
    <t>Synthron eddha</t>
  </si>
  <si>
    <t>Tayo T -50</t>
  </si>
  <si>
    <t>Abamectin</t>
  </si>
  <si>
    <t>Agrodion</t>
  </si>
  <si>
    <t>Akardion</t>
  </si>
  <si>
    <t>Arvilmec  EC</t>
  </si>
  <si>
    <t>Fenbutation  Oxide</t>
  </si>
  <si>
    <t>Fertidion  V18</t>
  </si>
  <si>
    <t>Kordion V 18</t>
  </si>
  <si>
    <t>Meteor  Lt</t>
  </si>
  <si>
    <t>Mitrus</t>
  </si>
  <si>
    <t>Neopan 500 EC</t>
  </si>
  <si>
    <t>Puzzle</t>
  </si>
  <si>
    <t>Phantome</t>
  </si>
  <si>
    <t>Pladoks</t>
  </si>
  <si>
    <t>Primite</t>
  </si>
  <si>
    <t>Tetrafon EC   Lt</t>
  </si>
  <si>
    <t>Wetland</t>
  </si>
  <si>
    <t>Bitki besin maddesi</t>
  </si>
  <si>
    <t>Altiset</t>
  </si>
  <si>
    <t>Calsimol Plus</t>
  </si>
  <si>
    <t>Ekoflora</t>
  </si>
  <si>
    <t>Essential  Plus</t>
  </si>
  <si>
    <t>Feiron</t>
  </si>
  <si>
    <t>Flexiroot</t>
  </si>
  <si>
    <t>Flower  Bombi</t>
  </si>
  <si>
    <t>Fosfomax</t>
  </si>
  <si>
    <t>Goldenmix</t>
  </si>
  <si>
    <t>Herta  Combi</t>
  </si>
  <si>
    <t>Hoprostar</t>
  </si>
  <si>
    <t>Humic Folvic</t>
  </si>
  <si>
    <t>İron Edta</t>
  </si>
  <si>
    <t>Jetfull</t>
  </si>
  <si>
    <t>Mangazinc</t>
  </si>
  <si>
    <t>Maxfoli</t>
  </si>
  <si>
    <t xml:space="preserve">Megasol </t>
  </si>
  <si>
    <t>Nissol  Ultra</t>
  </si>
  <si>
    <t>Nitro Zınc</t>
  </si>
  <si>
    <t>Nutrisol  Punc</t>
  </si>
  <si>
    <t>Nutrisol  Super</t>
  </si>
  <si>
    <t>Potasate</t>
  </si>
  <si>
    <t>Resist</t>
  </si>
  <si>
    <t>Sferesol</t>
  </si>
  <si>
    <t>Tayomin  Ca</t>
  </si>
  <si>
    <t>Tonofol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</si>
</sst>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#,##0.000"/>
    <numFmt numFmtId="175" formatCode="###\ ###\ ###.#"/>
    <numFmt numFmtId="176" formatCode="###\ ###\ ###"/>
    <numFmt numFmtId="177" formatCode="0.0"/>
    <numFmt numFmtId="178" formatCode="0.00000"/>
    <numFmt numFmtId="179" formatCode="#,##0.00000"/>
    <numFmt numFmtId="180" formatCode="0.000"/>
    <numFmt numFmtId="181" formatCode="#,##0.0000"/>
  </numFmts>
  <fonts count="11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TUR"/>
      <family val="0"/>
    </font>
    <font>
      <b/>
      <sz val="10"/>
      <name val="Times New Roman TUR"/>
      <family val="0"/>
    </font>
    <font>
      <sz val="12"/>
      <name val="Times New Roman TUR"/>
      <family val="0"/>
    </font>
    <font>
      <i/>
      <sz val="8"/>
      <name val="Times New Roman TUR"/>
      <family val="0"/>
    </font>
    <font>
      <b/>
      <sz val="12"/>
      <name val="Times New Roman TUR"/>
      <family val="0"/>
    </font>
    <font>
      <b/>
      <i/>
      <sz val="12"/>
      <name val="Times New Roman TUR"/>
      <family val="0"/>
    </font>
    <font>
      <i/>
      <sz val="12"/>
      <name val="Times New Roman TUR"/>
      <family val="0"/>
    </font>
    <font>
      <sz val="12"/>
      <name val="Arial"/>
      <family val="2"/>
    </font>
    <font>
      <b/>
      <sz val="16"/>
      <name val="Times New Roman TUR"/>
      <family val="0"/>
    </font>
    <font>
      <sz val="14"/>
      <name val="Times New Roman TUR"/>
      <family val="0"/>
    </font>
    <font>
      <b/>
      <sz val="14"/>
      <name val="Times New Roman TUR"/>
      <family val="0"/>
    </font>
    <font>
      <sz val="20"/>
      <name val="Times New Roman TUR"/>
      <family val="0"/>
    </font>
    <font>
      <sz val="16"/>
      <name val="Times New Roman TUR"/>
      <family val="0"/>
    </font>
    <font>
      <i/>
      <sz val="14"/>
      <name val="Times New Roman TUR"/>
      <family val="0"/>
    </font>
    <font>
      <sz val="14"/>
      <name val="Arial"/>
      <family val="2"/>
    </font>
    <font>
      <b/>
      <i/>
      <sz val="14"/>
      <name val="Times New Roman TUR"/>
      <family val="0"/>
    </font>
    <font>
      <b/>
      <sz val="14"/>
      <name val="Arial"/>
      <family val="2"/>
    </font>
    <font>
      <i/>
      <sz val="16"/>
      <name val="Times New Roman TUR"/>
      <family val="1"/>
    </font>
    <font>
      <b/>
      <i/>
      <sz val="16"/>
      <name val="Times New Roman TUR"/>
      <family val="1"/>
    </font>
    <font>
      <sz val="16"/>
      <name val="Arial"/>
      <family val="2"/>
    </font>
    <font>
      <b/>
      <sz val="20"/>
      <name val="Times New Roman TUR"/>
      <family val="1"/>
    </font>
    <font>
      <i/>
      <sz val="20"/>
      <name val="Times New Roman TUR"/>
      <family val="0"/>
    </font>
    <font>
      <b/>
      <i/>
      <sz val="20"/>
      <name val="Times New Roman TUR"/>
      <family val="1"/>
    </font>
    <font>
      <b/>
      <sz val="18"/>
      <name val="Times New Roman TUR"/>
      <family val="1"/>
    </font>
    <font>
      <sz val="18"/>
      <name val="Times New Roman TUR"/>
      <family val="1"/>
    </font>
    <font>
      <i/>
      <sz val="18"/>
      <name val="Times New Roman TUR"/>
      <family val="1"/>
    </font>
    <font>
      <b/>
      <i/>
      <sz val="18"/>
      <name val="Times New Roman TUR"/>
      <family val="1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20"/>
      <name val="Times New Roman"/>
      <family val="1"/>
    </font>
    <font>
      <sz val="24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6"/>
      <color indexed="10"/>
      <name val="Times New Roman"/>
      <family val="1"/>
    </font>
    <font>
      <sz val="10"/>
      <color indexed="10"/>
      <name val="Times New Roman"/>
      <family val="1"/>
    </font>
    <font>
      <sz val="22"/>
      <name val="Times New Roman"/>
      <family val="1"/>
    </font>
    <font>
      <i/>
      <sz val="22"/>
      <name val="Times New Roman"/>
      <family val="1"/>
    </font>
    <font>
      <sz val="11"/>
      <name val="Times New Roman"/>
      <family val="1"/>
    </font>
    <font>
      <b/>
      <i/>
      <sz val="22"/>
      <name val="Times New Roman"/>
      <family val="1"/>
    </font>
    <font>
      <sz val="18"/>
      <name val="Arial"/>
      <family val="2"/>
    </font>
    <font>
      <b/>
      <sz val="22"/>
      <name val="Times New Roman TUR"/>
      <family val="1"/>
    </font>
    <font>
      <sz val="22"/>
      <name val="Times New Roman TUR"/>
      <family val="1"/>
    </font>
    <font>
      <b/>
      <i/>
      <sz val="22"/>
      <name val="Times New Roman TUR"/>
      <family val="1"/>
    </font>
    <font>
      <i/>
      <sz val="22"/>
      <name val="Times New Roman TUR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8"/>
      <name val="Times New Roman TUR"/>
      <family val="1"/>
    </font>
    <font>
      <sz val="26"/>
      <name val="Times New Roman TUR"/>
      <family val="1"/>
    </font>
    <font>
      <b/>
      <sz val="26"/>
      <name val="Times New Roman TUR"/>
      <family val="1"/>
    </font>
    <font>
      <sz val="24"/>
      <name val="Times New Roman TUR"/>
      <family val="1"/>
    </font>
    <font>
      <b/>
      <sz val="24"/>
      <name val="Times New Roman TUR"/>
      <family val="1"/>
    </font>
    <font>
      <sz val="26"/>
      <name val="Arial"/>
      <family val="2"/>
    </font>
    <font>
      <sz val="11"/>
      <name val="Times New Roman TUR"/>
      <family val="0"/>
    </font>
    <font>
      <sz val="8"/>
      <name val="Times New Roman TUR"/>
      <family val="0"/>
    </font>
    <font>
      <i/>
      <sz val="26"/>
      <name val="Times New Roman TUR"/>
      <family val="0"/>
    </font>
    <font>
      <b/>
      <sz val="26"/>
      <color indexed="10"/>
      <name val="Times New Roman TU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TUR"/>
      <family val="0"/>
    </font>
    <font>
      <b/>
      <sz val="8"/>
      <color indexed="10"/>
      <name val="Times New Roman"/>
      <family val="1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/>
      <right style="thin"/>
      <top style="thin"/>
      <bottom style="thick"/>
    </border>
    <border>
      <left/>
      <right style="thin"/>
      <top style="thick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ck"/>
      <right style="thick"/>
      <top style="thick"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ck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ck"/>
      <top style="thick"/>
      <bottom style="thick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ck"/>
      <right style="thick"/>
      <top/>
      <bottom style="medium"/>
    </border>
    <border>
      <left style="thick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thick"/>
      <right style="medium"/>
      <top style="medium"/>
      <bottom style="thick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ck"/>
      <top style="medium"/>
      <bottom/>
    </border>
    <border>
      <left style="thin"/>
      <right/>
      <top style="thin"/>
      <bottom style="thin"/>
    </border>
    <border>
      <left style="medium"/>
      <right style="thick"/>
      <top/>
      <bottom style="thick"/>
    </border>
    <border>
      <left style="thick"/>
      <right style="thick"/>
      <top/>
      <bottom style="thick"/>
    </border>
    <border>
      <left style="thick"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 style="thick"/>
      <top/>
      <bottom style="medium"/>
    </border>
    <border>
      <left style="thick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ck"/>
      <right style="thick"/>
      <top/>
      <bottom/>
    </border>
    <border>
      <left style="medium"/>
      <right style="thick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292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3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2" fillId="0" borderId="18" xfId="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11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3" fontId="17" fillId="0" borderId="14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1" fillId="0" borderId="11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3" fontId="15" fillId="0" borderId="11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5" fillId="0" borderId="12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3" fillId="0" borderId="0" xfId="0" applyFont="1" applyAlignment="1">
      <alignment/>
    </xf>
    <xf numFmtId="3" fontId="14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11" fillId="0" borderId="10" xfId="0" applyNumberFormat="1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3" fontId="16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22" fillId="0" borderId="0" xfId="0" applyFont="1" applyAlignment="1">
      <alignment/>
    </xf>
    <xf numFmtId="3" fontId="14" fillId="0" borderId="0" xfId="44" applyNumberFormat="1" applyFont="1" applyBorder="1" applyAlignment="1">
      <alignment horizontal="right"/>
    </xf>
    <xf numFmtId="3" fontId="26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4" fillId="0" borderId="10" xfId="44" applyNumberFormat="1" applyFont="1" applyBorder="1" applyAlignment="1">
      <alignment horizontal="right"/>
    </xf>
    <xf numFmtId="3" fontId="4" fillId="0" borderId="0" xfId="44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1" fillId="0" borderId="10" xfId="0" applyNumberFormat="1" applyFont="1" applyBorder="1" applyAlignment="1" quotePrefix="1">
      <alignment horizontal="right"/>
    </xf>
    <xf numFmtId="3" fontId="11" fillId="0" borderId="24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3" fontId="13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3" fontId="14" fillId="0" borderId="25" xfId="44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4" fillId="0" borderId="26" xfId="44" applyNumberFormat="1" applyFont="1" applyBorder="1" applyAlignment="1">
      <alignment/>
    </xf>
    <xf numFmtId="3" fontId="14" fillId="0" borderId="27" xfId="44" applyNumberFormat="1" applyFont="1" applyBorder="1" applyAlignment="1">
      <alignment horizontal="right"/>
    </xf>
    <xf numFmtId="3" fontId="14" fillId="0" borderId="16" xfId="44" applyNumberFormat="1" applyFont="1" applyBorder="1" applyAlignment="1">
      <alignment/>
    </xf>
    <xf numFmtId="3" fontId="10" fillId="0" borderId="28" xfId="44" applyNumberFormat="1" applyFont="1" applyBorder="1" applyAlignment="1">
      <alignment/>
    </xf>
    <xf numFmtId="0" fontId="2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17" fillId="0" borderId="19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/>
    </xf>
    <xf numFmtId="3" fontId="10" fillId="0" borderId="29" xfId="0" applyNumberFormat="1" applyFont="1" applyBorder="1" applyAlignment="1">
      <alignment horizontal="right"/>
    </xf>
    <xf numFmtId="3" fontId="12" fillId="33" borderId="30" xfId="0" applyNumberFormat="1" applyFont="1" applyFill="1" applyBorder="1" applyAlignment="1">
      <alignment/>
    </xf>
    <xf numFmtId="3" fontId="12" fillId="34" borderId="30" xfId="0" applyNumberFormat="1" applyFont="1" applyFill="1" applyBorder="1" applyAlignment="1">
      <alignment/>
    </xf>
    <xf numFmtId="3" fontId="10" fillId="0" borderId="30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34" borderId="30" xfId="0" applyNumberFormat="1" applyFont="1" applyFill="1" applyBorder="1" applyAlignment="1">
      <alignment/>
    </xf>
    <xf numFmtId="178" fontId="11" fillId="0" borderId="31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178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2" fillId="33" borderId="29" xfId="0" applyNumberFormat="1" applyFont="1" applyFill="1" applyBorder="1" applyAlignment="1">
      <alignment/>
    </xf>
    <xf numFmtId="3" fontId="12" fillId="34" borderId="29" xfId="0" applyNumberFormat="1" applyFont="1" applyFill="1" applyBorder="1" applyAlignment="1">
      <alignment/>
    </xf>
    <xf numFmtId="3" fontId="10" fillId="0" borderId="29" xfId="0" applyNumberFormat="1" applyFont="1" applyBorder="1" applyAlignment="1">
      <alignment/>
    </xf>
    <xf numFmtId="3" fontId="10" fillId="34" borderId="29" xfId="0" applyNumberFormat="1" applyFont="1" applyFill="1" applyBorder="1" applyAlignment="1">
      <alignment/>
    </xf>
    <xf numFmtId="3" fontId="10" fillId="0" borderId="34" xfId="0" applyNumberFormat="1" applyFont="1" applyBorder="1" applyAlignment="1">
      <alignment horizontal="right"/>
    </xf>
    <xf numFmtId="3" fontId="10" fillId="0" borderId="35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/>
    </xf>
    <xf numFmtId="3" fontId="14" fillId="0" borderId="36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24" xfId="44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31" fillId="0" borderId="0" xfId="0" applyFont="1" applyAlignment="1">
      <alignment horizontal="right" wrapText="1"/>
    </xf>
    <xf numFmtId="176" fontId="31" fillId="0" borderId="0" xfId="0" applyNumberFormat="1" applyFont="1" applyAlignment="1">
      <alignment wrapText="1"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3" fontId="34" fillId="0" borderId="10" xfId="0" applyNumberFormat="1" applyFont="1" applyBorder="1" applyAlignment="1">
      <alignment horizontal="right"/>
    </xf>
    <xf numFmtId="3" fontId="34" fillId="0" borderId="10" xfId="0" applyNumberFormat="1" applyFont="1" applyBorder="1" applyAlignment="1" quotePrefix="1">
      <alignment horizontal="right"/>
    </xf>
    <xf numFmtId="3" fontId="12" fillId="0" borderId="37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3" fontId="12" fillId="0" borderId="39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0" borderId="40" xfId="0" applyNumberFormat="1" applyFont="1" applyFill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3" fontId="35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3" fontId="29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3" fontId="37" fillId="0" borderId="0" xfId="0" applyNumberFormat="1" applyFont="1" applyAlignment="1">
      <alignment/>
    </xf>
    <xf numFmtId="3" fontId="35" fillId="0" borderId="42" xfId="0" applyNumberFormat="1" applyFont="1" applyBorder="1" applyAlignment="1">
      <alignment horizontal="center"/>
    </xf>
    <xf numFmtId="3" fontId="34" fillId="0" borderId="0" xfId="0" applyNumberFormat="1" applyFont="1" applyAlignment="1">
      <alignment horizontal="center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3" fontId="34" fillId="0" borderId="0" xfId="0" applyNumberFormat="1" applyFont="1" applyFill="1" applyBorder="1" applyAlignment="1">
      <alignment horizontal="right"/>
    </xf>
    <xf numFmtId="3" fontId="35" fillId="0" borderId="0" xfId="0" applyNumberFormat="1" applyFont="1" applyBorder="1" applyAlignment="1">
      <alignment horizontal="right"/>
    </xf>
    <xf numFmtId="3" fontId="34" fillId="0" borderId="0" xfId="44" applyNumberFormat="1" applyFont="1" applyBorder="1" applyAlignment="1">
      <alignment horizontal="right"/>
    </xf>
    <xf numFmtId="3" fontId="42" fillId="0" borderId="0" xfId="0" applyNumberFormat="1" applyFont="1" applyAlignment="1">
      <alignment/>
    </xf>
    <xf numFmtId="3" fontId="34" fillId="0" borderId="10" xfId="44" applyNumberFormat="1" applyFont="1" applyBorder="1" applyAlignment="1" quotePrefix="1">
      <alignment horizontal="right"/>
    </xf>
    <xf numFmtId="0" fontId="31" fillId="0" borderId="0" xfId="0" applyFont="1" applyAlignment="1">
      <alignment/>
    </xf>
    <xf numFmtId="0" fontId="32" fillId="0" borderId="11" xfId="0" applyFont="1" applyBorder="1" applyAlignment="1">
      <alignment horizontal="left" wrapText="1"/>
    </xf>
    <xf numFmtId="0" fontId="33" fillId="0" borderId="0" xfId="0" applyNumberFormat="1" applyFont="1" applyAlignment="1">
      <alignment/>
    </xf>
    <xf numFmtId="0" fontId="41" fillId="0" borderId="0" xfId="0" applyFont="1" applyAlignment="1">
      <alignment/>
    </xf>
    <xf numFmtId="0" fontId="35" fillId="0" borderId="11" xfId="0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8" xfId="0" applyNumberFormat="1" applyFont="1" applyBorder="1" applyAlignment="1">
      <alignment/>
    </xf>
    <xf numFmtId="3" fontId="35" fillId="0" borderId="19" xfId="0" applyNumberFormat="1" applyFont="1" applyBorder="1" applyAlignment="1">
      <alignment/>
    </xf>
    <xf numFmtId="0" fontId="35" fillId="0" borderId="14" xfId="0" applyFont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3" fontId="34" fillId="0" borderId="14" xfId="0" applyNumberFormat="1" applyFont="1" applyBorder="1" applyAlignment="1">
      <alignment horizontal="center"/>
    </xf>
    <xf numFmtId="0" fontId="35" fillId="0" borderId="0" xfId="0" applyFont="1" applyAlignment="1">
      <alignment/>
    </xf>
    <xf numFmtId="3" fontId="35" fillId="0" borderId="31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 horizontal="center"/>
    </xf>
    <xf numFmtId="3" fontId="34" fillId="0" borderId="36" xfId="0" applyNumberFormat="1" applyFont="1" applyBorder="1" applyAlignment="1">
      <alignment horizontal="right"/>
    </xf>
    <xf numFmtId="0" fontId="35" fillId="0" borderId="13" xfId="0" applyFont="1" applyBorder="1" applyAlignment="1">
      <alignment/>
    </xf>
    <xf numFmtId="0" fontId="35" fillId="0" borderId="19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9" xfId="0" applyFont="1" applyBorder="1" applyAlignment="1">
      <alignment/>
    </xf>
    <xf numFmtId="3" fontId="32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3" fontId="32" fillId="0" borderId="15" xfId="0" applyNumberFormat="1" applyFont="1" applyBorder="1" applyAlignment="1">
      <alignment/>
    </xf>
    <xf numFmtId="3" fontId="31" fillId="0" borderId="33" xfId="0" applyNumberFormat="1" applyFont="1" applyBorder="1" applyAlignment="1">
      <alignment/>
    </xf>
    <xf numFmtId="3" fontId="31" fillId="0" borderId="0" xfId="0" applyNumberFormat="1" applyFont="1" applyBorder="1" applyAlignment="1">
      <alignment horizontal="right"/>
    </xf>
    <xf numFmtId="3" fontId="32" fillId="0" borderId="39" xfId="0" applyNumberFormat="1" applyFont="1" applyBorder="1" applyAlignment="1">
      <alignment horizontal="right"/>
    </xf>
    <xf numFmtId="3" fontId="31" fillId="0" borderId="43" xfId="0" applyNumberFormat="1" applyFont="1" applyBorder="1" applyAlignment="1">
      <alignment/>
    </xf>
    <xf numFmtId="3" fontId="31" fillId="0" borderId="36" xfId="0" applyNumberFormat="1" applyFont="1" applyBorder="1" applyAlignment="1">
      <alignment horizontal="right"/>
    </xf>
    <xf numFmtId="3" fontId="33" fillId="0" borderId="12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3" fontId="43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3" fillId="0" borderId="11" xfId="0" applyNumberFormat="1" applyFont="1" applyBorder="1" applyAlignment="1">
      <alignment horizontal="center"/>
    </xf>
    <xf numFmtId="3" fontId="36" fillId="0" borderId="0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3" fontId="44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3" fontId="48" fillId="0" borderId="11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/>
    </xf>
    <xf numFmtId="3" fontId="30" fillId="0" borderId="18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3" fontId="48" fillId="0" borderId="14" xfId="0" applyNumberFormat="1" applyFont="1" applyBorder="1" applyAlignment="1">
      <alignment horizontal="center"/>
    </xf>
    <xf numFmtId="3" fontId="50" fillId="0" borderId="14" xfId="0" applyNumberFormat="1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178" fontId="30" fillId="0" borderId="0" xfId="0" applyNumberFormat="1" applyFont="1" applyAlignment="1">
      <alignment/>
    </xf>
    <xf numFmtId="173" fontId="30" fillId="0" borderId="0" xfId="0" applyNumberFormat="1" applyFont="1" applyBorder="1" applyAlignment="1">
      <alignment horizontal="right"/>
    </xf>
    <xf numFmtId="3" fontId="30" fillId="0" borderId="14" xfId="0" applyNumberFormat="1" applyFont="1" applyBorder="1" applyAlignment="1">
      <alignment horizontal="center"/>
    </xf>
    <xf numFmtId="3" fontId="48" fillId="0" borderId="44" xfId="0" applyNumberFormat="1" applyFont="1" applyBorder="1" applyAlignment="1">
      <alignment/>
    </xf>
    <xf numFmtId="3" fontId="48" fillId="0" borderId="45" xfId="0" applyNumberFormat="1" applyFont="1" applyBorder="1" applyAlignment="1">
      <alignment/>
    </xf>
    <xf numFmtId="3" fontId="50" fillId="0" borderId="46" xfId="0" applyNumberFormat="1" applyFont="1" applyBorder="1" applyAlignment="1">
      <alignment/>
    </xf>
    <xf numFmtId="3" fontId="48" fillId="33" borderId="29" xfId="0" applyNumberFormat="1" applyFont="1" applyFill="1" applyBorder="1" applyAlignment="1">
      <alignment horizontal="right"/>
    </xf>
    <xf numFmtId="3" fontId="48" fillId="33" borderId="47" xfId="0" applyNumberFormat="1" applyFont="1" applyFill="1" applyBorder="1" applyAlignment="1">
      <alignment horizontal="right"/>
    </xf>
    <xf numFmtId="3" fontId="48" fillId="33" borderId="29" xfId="0" applyNumberFormat="1" applyFont="1" applyFill="1" applyBorder="1" applyAlignment="1">
      <alignment/>
    </xf>
    <xf numFmtId="3" fontId="30" fillId="0" borderId="17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3" fontId="49" fillId="0" borderId="48" xfId="0" applyNumberFormat="1" applyFont="1" applyBorder="1" applyAlignment="1">
      <alignment/>
    </xf>
    <xf numFmtId="3" fontId="48" fillId="34" borderId="29" xfId="0" applyNumberFormat="1" applyFont="1" applyFill="1" applyBorder="1" applyAlignment="1">
      <alignment horizontal="right"/>
    </xf>
    <xf numFmtId="3" fontId="48" fillId="34" borderId="47" xfId="0" applyNumberFormat="1" applyFont="1" applyFill="1" applyBorder="1" applyAlignment="1">
      <alignment horizontal="right"/>
    </xf>
    <xf numFmtId="3" fontId="30" fillId="34" borderId="29" xfId="0" applyNumberFormat="1" applyFont="1" applyFill="1" applyBorder="1" applyAlignment="1">
      <alignment/>
    </xf>
    <xf numFmtId="3" fontId="48" fillId="0" borderId="29" xfId="0" applyNumberFormat="1" applyFont="1" applyBorder="1" applyAlignment="1">
      <alignment horizontal="right"/>
    </xf>
    <xf numFmtId="3" fontId="48" fillId="0" borderId="47" xfId="0" applyNumberFormat="1" applyFont="1" applyBorder="1" applyAlignment="1">
      <alignment horizontal="right"/>
    </xf>
    <xf numFmtId="3" fontId="30" fillId="0" borderId="29" xfId="0" applyNumberFormat="1" applyFont="1" applyBorder="1" applyAlignment="1">
      <alignment/>
    </xf>
    <xf numFmtId="3" fontId="30" fillId="0" borderId="47" xfId="0" applyNumberFormat="1" applyFont="1" applyBorder="1" applyAlignment="1">
      <alignment/>
    </xf>
    <xf numFmtId="3" fontId="48" fillId="0" borderId="17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3" fontId="48" fillId="0" borderId="16" xfId="0" applyNumberFormat="1" applyFont="1" applyBorder="1" applyAlignment="1">
      <alignment/>
    </xf>
    <xf numFmtId="3" fontId="50" fillId="0" borderId="48" xfId="0" applyNumberFormat="1" applyFont="1" applyBorder="1" applyAlignment="1">
      <alignment/>
    </xf>
    <xf numFmtId="3" fontId="30" fillId="0" borderId="49" xfId="0" applyNumberFormat="1" applyFont="1" applyBorder="1" applyAlignment="1">
      <alignment/>
    </xf>
    <xf numFmtId="3" fontId="30" fillId="0" borderId="36" xfId="0" applyNumberFormat="1" applyFont="1" applyBorder="1" applyAlignment="1">
      <alignment/>
    </xf>
    <xf numFmtId="3" fontId="49" fillId="0" borderId="50" xfId="0" applyNumberFormat="1" applyFont="1" applyBorder="1" applyAlignment="1">
      <alignment/>
    </xf>
    <xf numFmtId="3" fontId="48" fillId="0" borderId="51" xfId="0" applyNumberFormat="1" applyFont="1" applyBorder="1" applyAlignment="1">
      <alignment horizontal="right"/>
    </xf>
    <xf numFmtId="3" fontId="30" fillId="0" borderId="24" xfId="0" applyNumberFormat="1" applyFont="1" applyBorder="1" applyAlignment="1">
      <alignment/>
    </xf>
    <xf numFmtId="3" fontId="50" fillId="0" borderId="11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/>
    </xf>
    <xf numFmtId="3" fontId="48" fillId="0" borderId="18" xfId="0" applyNumberFormat="1" applyFont="1" applyBorder="1" applyAlignment="1">
      <alignment horizontal="right"/>
    </xf>
    <xf numFmtId="3" fontId="50" fillId="0" borderId="19" xfId="0" applyNumberFormat="1" applyFont="1" applyBorder="1" applyAlignment="1">
      <alignment horizontal="center"/>
    </xf>
    <xf numFmtId="3" fontId="48" fillId="34" borderId="29" xfId="0" applyNumberFormat="1" applyFont="1" applyFill="1" applyBorder="1" applyAlignment="1">
      <alignment/>
    </xf>
    <xf numFmtId="3" fontId="51" fillId="0" borderId="0" xfId="0" applyNumberFormat="1" applyFont="1" applyAlignment="1">
      <alignment/>
    </xf>
    <xf numFmtId="3" fontId="48" fillId="0" borderId="15" xfId="0" applyNumberFormat="1" applyFont="1" applyBorder="1" applyAlignment="1">
      <alignment/>
    </xf>
    <xf numFmtId="3" fontId="30" fillId="0" borderId="31" xfId="0" applyNumberFormat="1" applyFont="1" applyBorder="1" applyAlignment="1">
      <alignment/>
    </xf>
    <xf numFmtId="3" fontId="30" fillId="0" borderId="32" xfId="0" applyNumberFormat="1" applyFont="1" applyBorder="1" applyAlignment="1">
      <alignment/>
    </xf>
    <xf numFmtId="3" fontId="48" fillId="0" borderId="31" xfId="0" applyNumberFormat="1" applyFont="1" applyBorder="1" applyAlignment="1">
      <alignment/>
    </xf>
    <xf numFmtId="3" fontId="48" fillId="0" borderId="32" xfId="0" applyNumberFormat="1" applyFont="1" applyBorder="1" applyAlignment="1">
      <alignment/>
    </xf>
    <xf numFmtId="3" fontId="30" fillId="0" borderId="43" xfId="0" applyNumberFormat="1" applyFont="1" applyBorder="1" applyAlignment="1">
      <alignment/>
    </xf>
    <xf numFmtId="3" fontId="30" fillId="0" borderId="52" xfId="0" applyNumberFormat="1" applyFont="1" applyBorder="1" applyAlignment="1">
      <alignment/>
    </xf>
    <xf numFmtId="3" fontId="48" fillId="0" borderId="43" xfId="0" applyNumberFormat="1" applyFont="1" applyBorder="1" applyAlignment="1">
      <alignment/>
    </xf>
    <xf numFmtId="3" fontId="48" fillId="0" borderId="36" xfId="0" applyNumberFormat="1" applyFont="1" applyBorder="1" applyAlignment="1">
      <alignment/>
    </xf>
    <xf numFmtId="3" fontId="48" fillId="0" borderId="52" xfId="0" applyNumberFormat="1" applyFont="1" applyBorder="1" applyAlignment="1">
      <alignment/>
    </xf>
    <xf numFmtId="3" fontId="30" fillId="0" borderId="11" xfId="0" applyNumberFormat="1" applyFont="1" applyBorder="1" applyAlignment="1">
      <alignment horizontal="center"/>
    </xf>
    <xf numFmtId="3" fontId="48" fillId="0" borderId="18" xfId="0" applyNumberFormat="1" applyFont="1" applyBorder="1" applyAlignment="1">
      <alignment/>
    </xf>
    <xf numFmtId="3" fontId="48" fillId="0" borderId="19" xfId="0" applyNumberFormat="1" applyFont="1" applyBorder="1" applyAlignment="1">
      <alignment/>
    </xf>
    <xf numFmtId="3" fontId="48" fillId="0" borderId="53" xfId="0" applyNumberFormat="1" applyFont="1" applyBorder="1" applyAlignment="1">
      <alignment/>
    </xf>
    <xf numFmtId="3" fontId="48" fillId="0" borderId="54" xfId="0" applyNumberFormat="1" applyFont="1" applyBorder="1" applyAlignment="1">
      <alignment/>
    </xf>
    <xf numFmtId="3" fontId="30" fillId="0" borderId="0" xfId="0" applyNumberFormat="1" applyFont="1" applyAlignment="1">
      <alignment horizontal="center"/>
    </xf>
    <xf numFmtId="3" fontId="49" fillId="0" borderId="43" xfId="0" applyNumberFormat="1" applyFont="1" applyBorder="1" applyAlignment="1">
      <alignment/>
    </xf>
    <xf numFmtId="3" fontId="49" fillId="0" borderId="36" xfId="0" applyNumberFormat="1" applyFont="1" applyBorder="1" applyAlignment="1">
      <alignment/>
    </xf>
    <xf numFmtId="3" fontId="49" fillId="0" borderId="52" xfId="0" applyNumberFormat="1" applyFont="1" applyBorder="1" applyAlignment="1">
      <alignment/>
    </xf>
    <xf numFmtId="3" fontId="49" fillId="0" borderId="0" xfId="0" applyNumberFormat="1" applyFont="1" applyAlignment="1">
      <alignment horizontal="center"/>
    </xf>
    <xf numFmtId="3" fontId="50" fillId="0" borderId="0" xfId="0" applyNumberFormat="1" applyFont="1" applyAlignment="1">
      <alignment/>
    </xf>
    <xf numFmtId="3" fontId="48" fillId="0" borderId="18" xfId="0" applyNumberFormat="1" applyFont="1" applyFill="1" applyBorder="1" applyAlignment="1">
      <alignment/>
    </xf>
    <xf numFmtId="3" fontId="48" fillId="0" borderId="18" xfId="0" applyNumberFormat="1" applyFont="1" applyFill="1" applyBorder="1" applyAlignment="1" quotePrefix="1">
      <alignment horizontal="right"/>
    </xf>
    <xf numFmtId="3" fontId="30" fillId="0" borderId="12" xfId="0" applyNumberFormat="1" applyFont="1" applyBorder="1" applyAlignment="1">
      <alignment/>
    </xf>
    <xf numFmtId="3" fontId="49" fillId="0" borderId="12" xfId="0" applyNumberFormat="1" applyFont="1" applyBorder="1" applyAlignment="1">
      <alignment horizontal="center"/>
    </xf>
    <xf numFmtId="2" fontId="30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3" fontId="48" fillId="0" borderId="15" xfId="0" applyNumberFormat="1" applyFont="1" applyBorder="1" applyAlignment="1">
      <alignment horizontal="left"/>
    </xf>
    <xf numFmtId="3" fontId="48" fillId="0" borderId="32" xfId="0" applyNumberFormat="1" applyFont="1" applyBorder="1" applyAlignment="1">
      <alignment horizontal="left"/>
    </xf>
    <xf numFmtId="3" fontId="30" fillId="0" borderId="19" xfId="0" applyNumberFormat="1" applyFont="1" applyBorder="1" applyAlignment="1">
      <alignment/>
    </xf>
    <xf numFmtId="3" fontId="48" fillId="0" borderId="33" xfId="0" applyNumberFormat="1" applyFont="1" applyBorder="1" applyAlignment="1">
      <alignment horizontal="left"/>
    </xf>
    <xf numFmtId="3" fontId="48" fillId="0" borderId="39" xfId="0" applyNumberFormat="1" applyFont="1" applyBorder="1" applyAlignment="1">
      <alignment horizontal="left"/>
    </xf>
    <xf numFmtId="3" fontId="49" fillId="0" borderId="33" xfId="0" applyNumberFormat="1" applyFont="1" applyBorder="1" applyAlignment="1">
      <alignment horizontal="left"/>
    </xf>
    <xf numFmtId="3" fontId="49" fillId="0" borderId="39" xfId="0" applyNumberFormat="1" applyFont="1" applyBorder="1" applyAlignment="1">
      <alignment horizontal="left"/>
    </xf>
    <xf numFmtId="3" fontId="49" fillId="0" borderId="43" xfId="0" applyNumberFormat="1" applyFont="1" applyBorder="1" applyAlignment="1">
      <alignment horizontal="left"/>
    </xf>
    <xf numFmtId="3" fontId="49" fillId="0" borderId="52" xfId="0" applyNumberFormat="1" applyFont="1" applyBorder="1" applyAlignment="1">
      <alignment horizontal="left"/>
    </xf>
    <xf numFmtId="3" fontId="49" fillId="0" borderId="12" xfId="0" applyNumberFormat="1" applyFont="1" applyBorder="1" applyAlignment="1">
      <alignment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36" fillId="0" borderId="0" xfId="0" applyFont="1" applyAlignment="1">
      <alignment/>
    </xf>
    <xf numFmtId="3" fontId="44" fillId="0" borderId="12" xfId="0" applyNumberFormat="1" applyFont="1" applyBorder="1" applyAlignment="1">
      <alignment horizontal="center"/>
    </xf>
    <xf numFmtId="3" fontId="47" fillId="0" borderId="12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15" xfId="0" applyFont="1" applyBorder="1" applyAlignment="1">
      <alignment/>
    </xf>
    <xf numFmtId="3" fontId="36" fillId="0" borderId="31" xfId="0" applyNumberFormat="1" applyFont="1" applyBorder="1" applyAlignment="1">
      <alignment horizontal="right"/>
    </xf>
    <xf numFmtId="3" fontId="43" fillId="0" borderId="32" xfId="0" applyNumberFormat="1" applyFont="1" applyBorder="1" applyAlignment="1">
      <alignment horizontal="right"/>
    </xf>
    <xf numFmtId="0" fontId="44" fillId="0" borderId="55" xfId="0" applyFont="1" applyBorder="1" applyAlignment="1">
      <alignment horizontal="left"/>
    </xf>
    <xf numFmtId="3" fontId="36" fillId="0" borderId="10" xfId="44" applyNumberFormat="1" applyFont="1" applyBorder="1" applyAlignment="1" quotePrefix="1">
      <alignment horizontal="right"/>
    </xf>
    <xf numFmtId="3" fontId="43" fillId="0" borderId="40" xfId="44" applyNumberFormat="1" applyFont="1" applyBorder="1" applyAlignment="1">
      <alignment horizontal="right"/>
    </xf>
    <xf numFmtId="0" fontId="38" fillId="0" borderId="10" xfId="0" applyFont="1" applyBorder="1" applyAlignment="1">
      <alignment/>
    </xf>
    <xf numFmtId="0" fontId="44" fillId="0" borderId="55" xfId="0" applyFont="1" applyBorder="1" applyAlignment="1">
      <alignment/>
    </xf>
    <xf numFmtId="3" fontId="36" fillId="0" borderId="10" xfId="44" applyNumberFormat="1" applyFont="1" applyBorder="1" applyAlignment="1">
      <alignment horizontal="right"/>
    </xf>
    <xf numFmtId="3" fontId="43" fillId="0" borderId="40" xfId="42" applyNumberFormat="1" applyFont="1" applyBorder="1" applyAlignment="1">
      <alignment horizontal="right"/>
    </xf>
    <xf numFmtId="3" fontId="36" fillId="0" borderId="10" xfId="0" applyNumberFormat="1" applyFont="1" applyBorder="1" applyAlignment="1" quotePrefix="1">
      <alignment horizontal="right"/>
    </xf>
    <xf numFmtId="3" fontId="36" fillId="0" borderId="10" xfId="42" applyNumberFormat="1" applyFont="1" applyBorder="1" applyAlignment="1" quotePrefix="1">
      <alignment horizontal="right"/>
    </xf>
    <xf numFmtId="0" fontId="35" fillId="0" borderId="55" xfId="0" applyFont="1" applyBorder="1" applyAlignment="1">
      <alignment/>
    </xf>
    <xf numFmtId="3" fontId="43" fillId="0" borderId="40" xfId="0" applyNumberFormat="1" applyFont="1" applyBorder="1" applyAlignment="1">
      <alignment horizontal="right"/>
    </xf>
    <xf numFmtId="0" fontId="36" fillId="0" borderId="55" xfId="0" applyFont="1" applyBorder="1" applyAlignment="1">
      <alignment/>
    </xf>
    <xf numFmtId="0" fontId="44" fillId="0" borderId="43" xfId="0" applyFont="1" applyBorder="1" applyAlignment="1">
      <alignment/>
    </xf>
    <xf numFmtId="3" fontId="36" fillId="0" borderId="36" xfId="44" applyNumberFormat="1" applyFont="1" applyBorder="1" applyAlignment="1" quotePrefix="1">
      <alignment horizontal="right"/>
    </xf>
    <xf numFmtId="3" fontId="43" fillId="0" borderId="52" xfId="44" applyNumberFormat="1" applyFont="1" applyBorder="1" applyAlignment="1">
      <alignment horizontal="right"/>
    </xf>
    <xf numFmtId="3" fontId="52" fillId="0" borderId="0" xfId="0" applyNumberFormat="1" applyFont="1" applyAlignment="1">
      <alignment/>
    </xf>
    <xf numFmtId="0" fontId="43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3" fontId="14" fillId="0" borderId="26" xfId="44" applyNumberFormat="1" applyFont="1" applyBorder="1" applyAlignment="1">
      <alignment horizontal="right"/>
    </xf>
    <xf numFmtId="3" fontId="14" fillId="0" borderId="28" xfId="44" applyNumberFormat="1" applyFont="1" applyBorder="1" applyAlignment="1">
      <alignment horizontal="right"/>
    </xf>
    <xf numFmtId="3" fontId="14" fillId="0" borderId="56" xfId="44" applyNumberFormat="1" applyFont="1" applyBorder="1" applyAlignment="1">
      <alignment horizontal="right"/>
    </xf>
    <xf numFmtId="3" fontId="10" fillId="0" borderId="57" xfId="0" applyNumberFormat="1" applyFont="1" applyBorder="1" applyAlignment="1">
      <alignment horizontal="right"/>
    </xf>
    <xf numFmtId="0" fontId="29" fillId="0" borderId="33" xfId="0" applyFont="1" applyBorder="1" applyAlignment="1">
      <alignment/>
    </xf>
    <xf numFmtId="3" fontId="29" fillId="0" borderId="36" xfId="0" applyNumberFormat="1" applyFont="1" applyBorder="1" applyAlignment="1">
      <alignment horizontal="right"/>
    </xf>
    <xf numFmtId="4" fontId="36" fillId="0" borderId="0" xfId="0" applyNumberFormat="1" applyFont="1" applyAlignment="1">
      <alignment/>
    </xf>
    <xf numFmtId="2" fontId="36" fillId="0" borderId="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3" fontId="11" fillId="0" borderId="47" xfId="0" applyNumberFormat="1" applyFont="1" applyBorder="1" applyAlignment="1">
      <alignment horizontal="right"/>
    </xf>
    <xf numFmtId="3" fontId="41" fillId="0" borderId="12" xfId="0" applyNumberFormat="1" applyFont="1" applyBorder="1" applyAlignment="1">
      <alignment horizontal="center"/>
    </xf>
    <xf numFmtId="3" fontId="42" fillId="0" borderId="12" xfId="0" applyNumberFormat="1" applyFont="1" applyBorder="1" applyAlignment="1">
      <alignment horizontal="center"/>
    </xf>
    <xf numFmtId="176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46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3" fontId="3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8" fillId="0" borderId="55" xfId="0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/>
    </xf>
    <xf numFmtId="3" fontId="6" fillId="0" borderId="39" xfId="0" applyNumberFormat="1" applyFont="1" applyBorder="1" applyAlignment="1">
      <alignment horizontal="right"/>
    </xf>
    <xf numFmtId="3" fontId="4" fillId="0" borderId="40" xfId="44" applyNumberFormat="1" applyFont="1" applyBorder="1" applyAlignment="1">
      <alignment horizontal="right"/>
    </xf>
    <xf numFmtId="3" fontId="4" fillId="0" borderId="39" xfId="44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3" fontId="6" fillId="0" borderId="52" xfId="0" applyNumberFormat="1" applyFont="1" applyBorder="1" applyAlignment="1">
      <alignment horizontal="right"/>
    </xf>
    <xf numFmtId="0" fontId="4" fillId="0" borderId="55" xfId="0" applyFont="1" applyBorder="1" applyAlignment="1">
      <alignment/>
    </xf>
    <xf numFmtId="0" fontId="6" fillId="0" borderId="58" xfId="0" applyFont="1" applyBorder="1" applyAlignment="1">
      <alignment/>
    </xf>
    <xf numFmtId="3" fontId="4" fillId="0" borderId="36" xfId="44" applyNumberFormat="1" applyFont="1" applyBorder="1" applyAlignment="1">
      <alignment horizontal="right"/>
    </xf>
    <xf numFmtId="3" fontId="35" fillId="0" borderId="15" xfId="0" applyNumberFormat="1" applyFont="1" applyBorder="1" applyAlignment="1">
      <alignment/>
    </xf>
    <xf numFmtId="3" fontId="35" fillId="0" borderId="32" xfId="0" applyNumberFormat="1" applyFont="1" applyBorder="1" applyAlignment="1">
      <alignment horizontal="right"/>
    </xf>
    <xf numFmtId="3" fontId="34" fillId="0" borderId="33" xfId="0" applyNumberFormat="1" applyFont="1" applyBorder="1" applyAlignment="1">
      <alignment/>
    </xf>
    <xf numFmtId="3" fontId="35" fillId="0" borderId="39" xfId="0" applyNumberFormat="1" applyFont="1" applyBorder="1" applyAlignment="1">
      <alignment horizontal="right"/>
    </xf>
    <xf numFmtId="3" fontId="35" fillId="0" borderId="40" xfId="0" applyNumberFormat="1" applyFont="1" applyBorder="1" applyAlignment="1">
      <alignment horizontal="right"/>
    </xf>
    <xf numFmtId="3" fontId="35" fillId="0" borderId="40" xfId="44" applyNumberFormat="1" applyFont="1" applyBorder="1" applyAlignment="1">
      <alignment horizontal="right"/>
    </xf>
    <xf numFmtId="3" fontId="34" fillId="0" borderId="0" xfId="0" applyNumberFormat="1" applyFont="1" applyBorder="1" applyAlignment="1" quotePrefix="1">
      <alignment horizontal="right"/>
    </xf>
    <xf numFmtId="3" fontId="34" fillId="0" borderId="36" xfId="0" applyNumberFormat="1" applyFont="1" applyBorder="1" applyAlignment="1" quotePrefix="1">
      <alignment horizontal="right"/>
    </xf>
    <xf numFmtId="3" fontId="35" fillId="0" borderId="18" xfId="0" applyNumberFormat="1" applyFont="1" applyBorder="1" applyAlignment="1" quotePrefix="1">
      <alignment horizontal="right"/>
    </xf>
    <xf numFmtId="3" fontId="35" fillId="0" borderId="19" xfId="0" applyNumberFormat="1" applyFont="1" applyBorder="1" applyAlignment="1" quotePrefix="1">
      <alignment horizontal="right"/>
    </xf>
    <xf numFmtId="3" fontId="35" fillId="0" borderId="33" xfId="0" applyNumberFormat="1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59" xfId="0" applyFont="1" applyBorder="1" applyAlignment="1">
      <alignment/>
    </xf>
    <xf numFmtId="1" fontId="36" fillId="0" borderId="0" xfId="0" applyNumberFormat="1" applyFont="1" applyAlignment="1">
      <alignment/>
    </xf>
    <xf numFmtId="0" fontId="43" fillId="0" borderId="0" xfId="57" applyFont="1" applyAlignment="1">
      <alignment/>
    </xf>
    <xf numFmtId="0" fontId="36" fillId="0" borderId="0" xfId="58" applyFont="1" applyAlignment="1">
      <alignment/>
      <protection/>
    </xf>
    <xf numFmtId="0" fontId="36" fillId="0" borderId="0" xfId="57" applyFont="1" applyAlignment="1">
      <alignment/>
    </xf>
    <xf numFmtId="0" fontId="35" fillId="0" borderId="60" xfId="57" applyFont="1" applyBorder="1" applyAlignment="1">
      <alignment/>
    </xf>
    <xf numFmtId="3" fontId="35" fillId="0" borderId="60" xfId="57" applyNumberFormat="1" applyFont="1" applyBorder="1" applyAlignment="1">
      <alignment horizontal="right"/>
    </xf>
    <xf numFmtId="2" fontId="35" fillId="0" borderId="60" xfId="57" applyNumberFormat="1" applyFont="1" applyBorder="1" applyAlignment="1">
      <alignment/>
    </xf>
    <xf numFmtId="0" fontId="35" fillId="0" borderId="0" xfId="57" applyFont="1" applyAlignment="1">
      <alignment/>
    </xf>
    <xf numFmtId="0" fontId="35" fillId="0" borderId="0" xfId="58" applyFont="1" applyAlignment="1">
      <alignment/>
      <protection/>
    </xf>
    <xf numFmtId="3" fontId="36" fillId="0" borderId="0" xfId="57" applyNumberFormat="1" applyFont="1" applyAlignment="1">
      <alignment/>
    </xf>
    <xf numFmtId="0" fontId="52" fillId="0" borderId="42" xfId="0" applyFont="1" applyBorder="1" applyAlignment="1">
      <alignment horizontal="center"/>
    </xf>
    <xf numFmtId="1" fontId="38" fillId="0" borderId="0" xfId="0" applyNumberFormat="1" applyFont="1" applyAlignment="1">
      <alignment/>
    </xf>
    <xf numFmtId="3" fontId="36" fillId="0" borderId="0" xfId="44" applyFont="1" applyAlignment="1">
      <alignment horizontal="center"/>
    </xf>
    <xf numFmtId="43" fontId="38" fillId="0" borderId="0" xfId="42" applyFont="1" applyAlignment="1">
      <alignment/>
    </xf>
    <xf numFmtId="0" fontId="41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39" xfId="0" applyFont="1" applyBorder="1" applyAlignment="1">
      <alignment/>
    </xf>
    <xf numFmtId="3" fontId="60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3" fontId="25" fillId="0" borderId="21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3" fontId="32" fillId="0" borderId="11" xfId="0" applyNumberFormat="1" applyFont="1" applyBorder="1" applyAlignment="1">
      <alignment horizontal="center"/>
    </xf>
    <xf numFmtId="178" fontId="31" fillId="0" borderId="0" xfId="0" applyNumberFormat="1" applyFont="1" applyAlignment="1">
      <alignment/>
    </xf>
    <xf numFmtId="173" fontId="31" fillId="0" borderId="0" xfId="0" applyNumberFormat="1" applyFont="1" applyBorder="1" applyAlignment="1">
      <alignment horizontal="right"/>
    </xf>
    <xf numFmtId="3" fontId="32" fillId="0" borderId="61" xfId="0" applyNumberFormat="1" applyFont="1" applyBorder="1" applyAlignment="1">
      <alignment/>
    </xf>
    <xf numFmtId="3" fontId="32" fillId="0" borderId="44" xfId="0" applyNumberFormat="1" applyFont="1" applyBorder="1" applyAlignment="1">
      <alignment/>
    </xf>
    <xf numFmtId="3" fontId="32" fillId="0" borderId="45" xfId="0" applyNumberFormat="1" applyFont="1" applyBorder="1" applyAlignment="1">
      <alignment/>
    </xf>
    <xf numFmtId="3" fontId="32" fillId="33" borderId="62" xfId="0" applyNumberFormat="1" applyFont="1" applyFill="1" applyBorder="1" applyAlignment="1">
      <alignment horizontal="right"/>
    </xf>
    <xf numFmtId="3" fontId="32" fillId="33" borderId="29" xfId="0" applyNumberFormat="1" applyFont="1" applyFill="1" applyBorder="1" applyAlignment="1">
      <alignment horizontal="right"/>
    </xf>
    <xf numFmtId="3" fontId="32" fillId="33" borderId="47" xfId="0" applyNumberFormat="1" applyFont="1" applyFill="1" applyBorder="1" applyAlignment="1">
      <alignment horizontal="right"/>
    </xf>
    <xf numFmtId="3" fontId="32" fillId="33" borderId="62" xfId="0" applyNumberFormat="1" applyFont="1" applyFill="1" applyBorder="1" applyAlignment="1">
      <alignment/>
    </xf>
    <xf numFmtId="3" fontId="32" fillId="33" borderId="29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/>
    </xf>
    <xf numFmtId="3" fontId="32" fillId="34" borderId="62" xfId="0" applyNumberFormat="1" applyFont="1" applyFill="1" applyBorder="1" applyAlignment="1">
      <alignment horizontal="right"/>
    </xf>
    <xf numFmtId="3" fontId="32" fillId="34" borderId="29" xfId="0" applyNumberFormat="1" applyFont="1" applyFill="1" applyBorder="1" applyAlignment="1">
      <alignment horizontal="right"/>
    </xf>
    <xf numFmtId="3" fontId="32" fillId="34" borderId="47" xfId="0" applyNumberFormat="1" applyFont="1" applyFill="1" applyBorder="1" applyAlignment="1">
      <alignment horizontal="right"/>
    </xf>
    <xf numFmtId="3" fontId="31" fillId="34" borderId="29" xfId="0" applyNumberFormat="1" applyFont="1" applyFill="1" applyBorder="1" applyAlignment="1">
      <alignment/>
    </xf>
    <xf numFmtId="3" fontId="31" fillId="0" borderId="62" xfId="0" applyNumberFormat="1" applyFont="1" applyBorder="1" applyAlignment="1">
      <alignment horizontal="right"/>
    </xf>
    <xf numFmtId="3" fontId="32" fillId="0" borderId="29" xfId="0" applyNumberFormat="1" applyFont="1" applyBorder="1" applyAlignment="1">
      <alignment horizontal="right"/>
    </xf>
    <xf numFmtId="3" fontId="32" fillId="0" borderId="47" xfId="0" applyNumberFormat="1" applyFont="1" applyBorder="1" applyAlignment="1">
      <alignment horizontal="right"/>
    </xf>
    <xf numFmtId="3" fontId="31" fillId="0" borderId="29" xfId="0" applyNumberFormat="1" applyFont="1" applyBorder="1" applyAlignment="1">
      <alignment/>
    </xf>
    <xf numFmtId="3" fontId="31" fillId="0" borderId="47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31" fillId="0" borderId="36" xfId="0" applyNumberFormat="1" applyFont="1" applyBorder="1" applyAlignment="1">
      <alignment/>
    </xf>
    <xf numFmtId="3" fontId="31" fillId="0" borderId="24" xfId="0" applyNumberFormat="1" applyFont="1" applyBorder="1" applyAlignment="1">
      <alignment/>
    </xf>
    <xf numFmtId="3" fontId="31" fillId="0" borderId="31" xfId="0" applyNumberFormat="1" applyFont="1" applyBorder="1" applyAlignment="1">
      <alignment/>
    </xf>
    <xf numFmtId="3" fontId="32" fillId="0" borderId="32" xfId="0" applyNumberFormat="1" applyFont="1" applyBorder="1" applyAlignment="1">
      <alignment/>
    </xf>
    <xf numFmtId="3" fontId="32" fillId="0" borderId="52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3" fontId="49" fillId="0" borderId="14" xfId="0" applyNumberFormat="1" applyFont="1" applyBorder="1" applyAlignment="1">
      <alignment horizontal="center" wrapText="1"/>
    </xf>
    <xf numFmtId="3" fontId="10" fillId="0" borderId="63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32" fillId="0" borderId="0" xfId="0" applyNumberFormat="1" applyFont="1" applyAlignment="1">
      <alignment horizontal="right"/>
    </xf>
    <xf numFmtId="3" fontId="32" fillId="0" borderId="11" xfId="0" applyNumberFormat="1" applyFont="1" applyBorder="1" applyAlignment="1">
      <alignment horizontal="left"/>
    </xf>
    <xf numFmtId="3" fontId="33" fillId="0" borderId="12" xfId="0" applyNumberFormat="1" applyFont="1" applyBorder="1" applyAlignment="1">
      <alignment horizontal="left"/>
    </xf>
    <xf numFmtId="3" fontId="32" fillId="0" borderId="12" xfId="0" applyNumberFormat="1" applyFont="1" applyBorder="1" applyAlignment="1">
      <alignment horizontal="center"/>
    </xf>
    <xf numFmtId="3" fontId="31" fillId="0" borderId="31" xfId="0" applyNumberFormat="1" applyFont="1" applyBorder="1" applyAlignment="1">
      <alignment horizontal="right"/>
    </xf>
    <xf numFmtId="3" fontId="32" fillId="0" borderId="32" xfId="0" applyNumberFormat="1" applyFont="1" applyBorder="1" applyAlignment="1">
      <alignment horizontal="right"/>
    </xf>
    <xf numFmtId="3" fontId="31" fillId="0" borderId="33" xfId="0" applyNumberFormat="1" applyFont="1" applyBorder="1" applyAlignment="1">
      <alignment horizontal="left"/>
    </xf>
    <xf numFmtId="3" fontId="31" fillId="0" borderId="55" xfId="0" applyNumberFormat="1" applyFont="1" applyBorder="1" applyAlignment="1">
      <alignment horizontal="left"/>
    </xf>
    <xf numFmtId="3" fontId="31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 quotePrefix="1">
      <alignment horizontal="right"/>
    </xf>
    <xf numFmtId="3" fontId="32" fillId="0" borderId="40" xfId="0" applyNumberFormat="1" applyFont="1" applyBorder="1" applyAlignment="1">
      <alignment horizontal="right"/>
    </xf>
    <xf numFmtId="3" fontId="31" fillId="0" borderId="55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33" fillId="0" borderId="55" xfId="0" applyNumberFormat="1" applyFont="1" applyBorder="1" applyAlignment="1">
      <alignment/>
    </xf>
    <xf numFmtId="3" fontId="31" fillId="0" borderId="3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3" fontId="31" fillId="0" borderId="55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right"/>
    </xf>
    <xf numFmtId="3" fontId="32" fillId="0" borderId="40" xfId="0" applyNumberFormat="1" applyFont="1" applyFill="1" applyBorder="1" applyAlignment="1">
      <alignment horizontal="right"/>
    </xf>
    <xf numFmtId="3" fontId="32" fillId="0" borderId="64" xfId="0" applyNumberFormat="1" applyFont="1" applyBorder="1" applyAlignment="1">
      <alignment horizontal="center"/>
    </xf>
    <xf numFmtId="3" fontId="32" fillId="0" borderId="65" xfId="0" applyNumberFormat="1" applyFont="1" applyBorder="1" applyAlignment="1">
      <alignment horizontal="right"/>
    </xf>
    <xf numFmtId="3" fontId="32" fillId="0" borderId="66" xfId="0" applyNumberFormat="1" applyFont="1" applyBorder="1" applyAlignment="1">
      <alignment/>
    </xf>
    <xf numFmtId="3" fontId="32" fillId="0" borderId="56" xfId="0" applyNumberFormat="1" applyFont="1" applyBorder="1" applyAlignment="1">
      <alignment/>
    </xf>
    <xf numFmtId="3" fontId="31" fillId="0" borderId="66" xfId="0" applyNumberFormat="1" applyFont="1" applyBorder="1" applyAlignment="1">
      <alignment/>
    </xf>
    <xf numFmtId="3" fontId="32" fillId="0" borderId="56" xfId="0" applyNumberFormat="1" applyFont="1" applyBorder="1" applyAlignment="1">
      <alignment horizontal="right"/>
    </xf>
    <xf numFmtId="3" fontId="31" fillId="0" borderId="67" xfId="0" applyNumberFormat="1" applyFont="1" applyBorder="1" applyAlignment="1">
      <alignment/>
    </xf>
    <xf numFmtId="3" fontId="32" fillId="0" borderId="68" xfId="0" applyNumberFormat="1" applyFont="1" applyBorder="1" applyAlignment="1">
      <alignment horizontal="right"/>
    </xf>
    <xf numFmtId="3" fontId="31" fillId="0" borderId="69" xfId="0" applyNumberFormat="1" applyFont="1" applyBorder="1" applyAlignment="1">
      <alignment/>
    </xf>
    <xf numFmtId="3" fontId="31" fillId="0" borderId="24" xfId="0" applyNumberFormat="1" applyFont="1" applyBorder="1" applyAlignment="1">
      <alignment horizontal="right"/>
    </xf>
    <xf numFmtId="3" fontId="32" fillId="0" borderId="70" xfId="0" applyNumberFormat="1" applyFont="1" applyBorder="1" applyAlignment="1">
      <alignment horizontal="right"/>
    </xf>
    <xf numFmtId="3" fontId="32" fillId="0" borderId="71" xfId="0" applyNumberFormat="1" applyFont="1" applyBorder="1" applyAlignment="1">
      <alignment/>
    </xf>
    <xf numFmtId="3" fontId="32" fillId="0" borderId="47" xfId="0" applyNumberFormat="1" applyFont="1" applyBorder="1" applyAlignment="1">
      <alignment/>
    </xf>
    <xf numFmtId="3" fontId="32" fillId="0" borderId="72" xfId="0" applyNumberFormat="1" applyFont="1" applyBorder="1" applyAlignment="1">
      <alignment/>
    </xf>
    <xf numFmtId="3" fontId="31" fillId="0" borderId="58" xfId="0" applyNumberFormat="1" applyFont="1" applyBorder="1" applyAlignment="1">
      <alignment/>
    </xf>
    <xf numFmtId="3" fontId="32" fillId="0" borderId="41" xfId="0" applyNumberFormat="1" applyFont="1" applyBorder="1" applyAlignment="1">
      <alignment horizontal="right"/>
    </xf>
    <xf numFmtId="3" fontId="32" fillId="0" borderId="64" xfId="0" applyNumberFormat="1" applyFont="1" applyBorder="1" applyAlignment="1">
      <alignment/>
    </xf>
    <xf numFmtId="3" fontId="32" fillId="0" borderId="65" xfId="0" applyNumberFormat="1" applyFont="1" applyBorder="1" applyAlignment="1">
      <alignment/>
    </xf>
    <xf numFmtId="3" fontId="32" fillId="0" borderId="52" xfId="0" applyNumberFormat="1" applyFont="1" applyBorder="1" applyAlignment="1">
      <alignment horizontal="right"/>
    </xf>
    <xf numFmtId="3" fontId="31" fillId="0" borderId="24" xfId="0" applyNumberFormat="1" applyFont="1" applyBorder="1" applyAlignment="1" quotePrefix="1">
      <alignment horizontal="right"/>
    </xf>
    <xf numFmtId="3" fontId="31" fillId="0" borderId="71" xfId="0" applyNumberFormat="1" applyFont="1" applyBorder="1" applyAlignment="1">
      <alignment/>
    </xf>
    <xf numFmtId="3" fontId="31" fillId="0" borderId="47" xfId="0" applyNumberFormat="1" applyFont="1" applyBorder="1" applyAlignment="1" quotePrefix="1">
      <alignment horizontal="right"/>
    </xf>
    <xf numFmtId="3" fontId="31" fillId="0" borderId="47" xfId="0" applyNumberFormat="1" applyFont="1" applyBorder="1" applyAlignment="1">
      <alignment horizontal="right"/>
    </xf>
    <xf numFmtId="3" fontId="32" fillId="0" borderId="72" xfId="0" applyNumberFormat="1" applyFont="1" applyBorder="1" applyAlignment="1">
      <alignment horizontal="right"/>
    </xf>
    <xf numFmtId="3" fontId="31" fillId="0" borderId="64" xfId="0" applyNumberFormat="1" applyFont="1" applyBorder="1" applyAlignment="1">
      <alignment horizontal="left"/>
    </xf>
    <xf numFmtId="0" fontId="34" fillId="0" borderId="73" xfId="57" applyFont="1" applyBorder="1" applyAlignment="1">
      <alignment/>
    </xf>
    <xf numFmtId="3" fontId="34" fillId="0" borderId="73" xfId="57" applyNumberFormat="1" applyFont="1" applyBorder="1" applyAlignment="1">
      <alignment horizontal="right"/>
    </xf>
    <xf numFmtId="2" fontId="34" fillId="0" borderId="73" xfId="57" applyNumberFormat="1" applyFont="1" applyBorder="1" applyAlignment="1">
      <alignment/>
    </xf>
    <xf numFmtId="0" fontId="34" fillId="0" borderId="74" xfId="57" applyFont="1" applyBorder="1" applyAlignment="1">
      <alignment/>
    </xf>
    <xf numFmtId="3" fontId="34" fillId="0" borderId="74" xfId="57" applyNumberFormat="1" applyFont="1" applyBorder="1" applyAlignment="1">
      <alignment horizontal="right"/>
    </xf>
    <xf numFmtId="2" fontId="34" fillId="0" borderId="74" xfId="57" applyNumberFormat="1" applyFont="1" applyBorder="1" applyAlignment="1">
      <alignment/>
    </xf>
    <xf numFmtId="0" fontId="34" fillId="0" borderId="75" xfId="57" applyFont="1" applyBorder="1" applyAlignment="1">
      <alignment/>
    </xf>
    <xf numFmtId="0" fontId="34" fillId="0" borderId="75" xfId="0" applyFont="1" applyBorder="1" applyAlignment="1">
      <alignment/>
    </xf>
    <xf numFmtId="0" fontId="34" fillId="0" borderId="76" xfId="57" applyFont="1" applyBorder="1" applyAlignment="1">
      <alignment/>
    </xf>
    <xf numFmtId="3" fontId="34" fillId="0" borderId="76" xfId="57" applyNumberFormat="1" applyFont="1" applyBorder="1" applyAlignment="1">
      <alignment horizontal="right"/>
    </xf>
    <xf numFmtId="2" fontId="34" fillId="0" borderId="76" xfId="57" applyNumberFormat="1" applyFont="1" applyBorder="1" applyAlignment="1">
      <alignment/>
    </xf>
    <xf numFmtId="0" fontId="34" fillId="0" borderId="77" xfId="57" applyFont="1" applyBorder="1" applyAlignment="1">
      <alignment/>
    </xf>
    <xf numFmtId="3" fontId="34" fillId="0" borderId="77" xfId="57" applyNumberFormat="1" applyFont="1" applyBorder="1" applyAlignment="1">
      <alignment horizontal="right"/>
    </xf>
    <xf numFmtId="2" fontId="34" fillId="0" borderId="77" xfId="57" applyNumberFormat="1" applyFont="1" applyBorder="1" applyAlignment="1">
      <alignment/>
    </xf>
    <xf numFmtId="0" fontId="41" fillId="0" borderId="12" xfId="0" applyFont="1" applyBorder="1" applyAlignment="1">
      <alignment/>
    </xf>
    <xf numFmtId="0" fontId="35" fillId="0" borderId="32" xfId="57" applyFont="1" applyBorder="1" applyAlignment="1">
      <alignment horizontal="center"/>
    </xf>
    <xf numFmtId="0" fontId="35" fillId="0" borderId="11" xfId="57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3" fontId="35" fillId="0" borderId="76" xfId="44" applyNumberFormat="1" applyFont="1" applyBorder="1" applyAlignment="1">
      <alignment horizontal="right"/>
    </xf>
    <xf numFmtId="4" fontId="35" fillId="0" borderId="76" xfId="42" applyNumberFormat="1" applyFont="1" applyBorder="1" applyAlignment="1">
      <alignment horizontal="right"/>
    </xf>
    <xf numFmtId="3" fontId="35" fillId="0" borderId="76" xfId="0" applyNumberFormat="1" applyFont="1" applyBorder="1" applyAlignment="1">
      <alignment horizontal="right"/>
    </xf>
    <xf numFmtId="3" fontId="34" fillId="0" borderId="14" xfId="44" applyNumberFormat="1" applyFont="1" applyBorder="1" applyAlignment="1">
      <alignment horizontal="right"/>
    </xf>
    <xf numFmtId="4" fontId="34" fillId="0" borderId="14" xfId="42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3" fontId="34" fillId="0" borderId="76" xfId="44" applyNumberFormat="1" applyFont="1" applyBorder="1" applyAlignment="1">
      <alignment horizontal="right"/>
    </xf>
    <xf numFmtId="4" fontId="34" fillId="0" borderId="76" xfId="42" applyNumberFormat="1" applyFont="1" applyBorder="1" applyAlignment="1">
      <alignment horizontal="right"/>
    </xf>
    <xf numFmtId="3" fontId="34" fillId="0" borderId="76" xfId="0" applyNumberFormat="1" applyFont="1" applyBorder="1" applyAlignment="1">
      <alignment horizontal="right"/>
    </xf>
    <xf numFmtId="4" fontId="34" fillId="0" borderId="76" xfId="42" applyNumberFormat="1" applyFont="1" applyBorder="1" applyAlignment="1" quotePrefix="1">
      <alignment horizontal="right"/>
    </xf>
    <xf numFmtId="3" fontId="34" fillId="0" borderId="76" xfId="0" applyNumberFormat="1" applyFont="1" applyBorder="1" applyAlignment="1" quotePrefix="1">
      <alignment horizontal="right"/>
    </xf>
    <xf numFmtId="3" fontId="34" fillId="0" borderId="75" xfId="0" applyNumberFormat="1" applyFont="1" applyBorder="1" applyAlignment="1">
      <alignment horizontal="right"/>
    </xf>
    <xf numFmtId="4" fontId="34" fillId="0" borderId="75" xfId="42" applyNumberFormat="1" applyFont="1" applyBorder="1" applyAlignment="1">
      <alignment horizontal="right"/>
    </xf>
    <xf numFmtId="3" fontId="34" fillId="0" borderId="75" xfId="44" applyNumberFormat="1" applyFont="1" applyBorder="1" applyAlignment="1">
      <alignment horizontal="right"/>
    </xf>
    <xf numFmtId="3" fontId="34" fillId="0" borderId="76" xfId="44" applyNumberFormat="1" applyFont="1" applyBorder="1" applyAlignment="1" quotePrefix="1">
      <alignment horizontal="right"/>
    </xf>
    <xf numFmtId="4" fontId="34" fillId="0" borderId="76" xfId="42" applyNumberFormat="1" applyFon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5" fillId="0" borderId="43" xfId="0" applyFont="1" applyBorder="1" applyAlignment="1">
      <alignment/>
    </xf>
    <xf numFmtId="3" fontId="35" fillId="0" borderId="78" xfId="44" applyNumberFormat="1" applyFont="1" applyBorder="1" applyAlignment="1">
      <alignment horizontal="right"/>
    </xf>
    <xf numFmtId="3" fontId="35" fillId="0" borderId="79" xfId="42" applyNumberFormat="1" applyFont="1" applyBorder="1" applyAlignment="1">
      <alignment horizontal="right"/>
    </xf>
    <xf numFmtId="0" fontId="36" fillId="0" borderId="42" xfId="0" applyFont="1" applyBorder="1" applyAlignment="1">
      <alignment/>
    </xf>
    <xf numFmtId="0" fontId="43" fillId="0" borderId="42" xfId="0" applyFont="1" applyBorder="1" applyAlignment="1">
      <alignment horizontal="center"/>
    </xf>
    <xf numFmtId="3" fontId="34" fillId="0" borderId="12" xfId="0" applyNumberFormat="1" applyFont="1" applyBorder="1" applyAlignment="1">
      <alignment horizontal="center"/>
    </xf>
    <xf numFmtId="3" fontId="49" fillId="0" borderId="33" xfId="0" applyNumberFormat="1" applyFont="1" applyBorder="1" applyAlignment="1">
      <alignment horizontal="center"/>
    </xf>
    <xf numFmtId="3" fontId="49" fillId="0" borderId="39" xfId="0" applyNumberFormat="1" applyFont="1" applyBorder="1" applyAlignment="1">
      <alignment horizontal="center"/>
    </xf>
    <xf numFmtId="3" fontId="29" fillId="0" borderId="14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3" fillId="0" borderId="32" xfId="0" applyNumberFormat="1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3" fontId="1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17" fillId="0" borderId="32" xfId="0" applyFont="1" applyBorder="1" applyAlignment="1">
      <alignment/>
    </xf>
    <xf numFmtId="0" fontId="15" fillId="0" borderId="39" xfId="0" applyFont="1" applyBorder="1" applyAlignment="1">
      <alignment/>
    </xf>
    <xf numFmtId="0" fontId="17" fillId="0" borderId="39" xfId="0" applyFont="1" applyBorder="1" applyAlignment="1">
      <alignment/>
    </xf>
    <xf numFmtId="0" fontId="12" fillId="0" borderId="39" xfId="0" applyFont="1" applyBorder="1" applyAlignment="1">
      <alignment/>
    </xf>
    <xf numFmtId="0" fontId="15" fillId="0" borderId="52" xfId="0" applyFont="1" applyBorder="1" applyAlignment="1">
      <alignment/>
    </xf>
    <xf numFmtId="0" fontId="25" fillId="0" borderId="60" xfId="0" applyFont="1" applyBorder="1" applyAlignment="1">
      <alignment horizontal="center"/>
    </xf>
    <xf numFmtId="0" fontId="28" fillId="0" borderId="32" xfId="0" applyFont="1" applyBorder="1" applyAlignment="1">
      <alignment/>
    </xf>
    <xf numFmtId="0" fontId="27" fillId="0" borderId="39" xfId="0" applyFont="1" applyBorder="1" applyAlignment="1">
      <alignment/>
    </xf>
    <xf numFmtId="0" fontId="28" fillId="0" borderId="39" xfId="0" applyFont="1" applyBorder="1" applyAlignment="1">
      <alignment/>
    </xf>
    <xf numFmtId="0" fontId="26" fillId="0" borderId="22" xfId="0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39" xfId="0" applyFont="1" applyBorder="1" applyAlignment="1">
      <alignment/>
    </xf>
    <xf numFmtId="0" fontId="25" fillId="0" borderId="22" xfId="0" applyFont="1" applyBorder="1" applyAlignment="1">
      <alignment/>
    </xf>
    <xf numFmtId="0" fontId="28" fillId="0" borderId="39" xfId="0" applyFont="1" applyBorder="1" applyAlignment="1">
      <alignment/>
    </xf>
    <xf numFmtId="0" fontId="26" fillId="0" borderId="23" xfId="0" applyFont="1" applyBorder="1" applyAlignment="1">
      <alignment/>
    </xf>
    <xf numFmtId="0" fontId="27" fillId="0" borderId="52" xfId="0" applyFont="1" applyBorder="1" applyAlignment="1">
      <alignment/>
    </xf>
    <xf numFmtId="3" fontId="25" fillId="0" borderId="15" xfId="0" applyNumberFormat="1" applyFont="1" applyBorder="1" applyAlignment="1">
      <alignment/>
    </xf>
    <xf numFmtId="3" fontId="26" fillId="0" borderId="33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6" fillId="0" borderId="43" xfId="0" applyFont="1" applyBorder="1" applyAlignment="1">
      <alignment/>
    </xf>
    <xf numFmtId="3" fontId="60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34" fillId="0" borderId="17" xfId="0" applyNumberFormat="1" applyFont="1" applyBorder="1" applyAlignment="1">
      <alignment/>
    </xf>
    <xf numFmtId="3" fontId="34" fillId="0" borderId="16" xfId="0" applyNumberFormat="1" applyFont="1" applyBorder="1" applyAlignment="1">
      <alignment/>
    </xf>
    <xf numFmtId="3" fontId="34" fillId="0" borderId="49" xfId="0" applyNumberFormat="1" applyFont="1" applyBorder="1" applyAlignment="1">
      <alignment/>
    </xf>
    <xf numFmtId="3" fontId="34" fillId="0" borderId="80" xfId="0" applyNumberFormat="1" applyFont="1" applyBorder="1" applyAlignment="1">
      <alignment/>
    </xf>
    <xf numFmtId="1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43" fillId="0" borderId="0" xfId="0" applyNumberFormat="1" applyFont="1" applyBorder="1" applyAlignment="1" quotePrefix="1">
      <alignment horizontal="right"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0" xfId="0" applyFont="1" applyFill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right"/>
    </xf>
    <xf numFmtId="3" fontId="64" fillId="0" borderId="16" xfId="0" applyNumberFormat="1" applyFont="1" applyBorder="1" applyAlignment="1" quotePrefix="1">
      <alignment horizontal="right"/>
    </xf>
    <xf numFmtId="3" fontId="19" fillId="0" borderId="0" xfId="0" applyNumberFormat="1" applyFont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10" fillId="0" borderId="18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53" xfId="0" applyNumberFormat="1" applyFont="1" applyBorder="1" applyAlignment="1">
      <alignment/>
    </xf>
    <xf numFmtId="3" fontId="10" fillId="0" borderId="54" xfId="0" applyNumberFormat="1" applyFont="1" applyBorder="1" applyAlignment="1">
      <alignment horizontal="right"/>
    </xf>
    <xf numFmtId="0" fontId="20" fillId="0" borderId="32" xfId="0" applyFont="1" applyBorder="1" applyAlignment="1">
      <alignment/>
    </xf>
    <xf numFmtId="3" fontId="14" fillId="0" borderId="22" xfId="0" applyNumberFormat="1" applyFont="1" applyBorder="1" applyAlignment="1">
      <alignment/>
    </xf>
    <xf numFmtId="0" fontId="19" fillId="0" borderId="39" xfId="0" applyFont="1" applyBorder="1" applyAlignment="1">
      <alignment/>
    </xf>
    <xf numFmtId="3" fontId="14" fillId="0" borderId="17" xfId="0" applyNumberFormat="1" applyFont="1" applyBorder="1" applyAlignment="1" quotePrefix="1">
      <alignment horizontal="right"/>
    </xf>
    <xf numFmtId="3" fontId="14" fillId="0" borderId="16" xfId="0" applyNumberFormat="1" applyFont="1" applyBorder="1" applyAlignment="1" quotePrefix="1">
      <alignment horizontal="right"/>
    </xf>
    <xf numFmtId="3" fontId="14" fillId="0" borderId="17" xfId="0" applyNumberFormat="1" applyFont="1" applyBorder="1" applyAlignment="1">
      <alignment/>
    </xf>
    <xf numFmtId="3" fontId="14" fillId="0" borderId="16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/>
    </xf>
    <xf numFmtId="0" fontId="20" fillId="0" borderId="39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7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4" fillId="0" borderId="16" xfId="0" applyFont="1" applyBorder="1" applyAlignment="1">
      <alignment/>
    </xf>
    <xf numFmtId="3" fontId="14" fillId="0" borderId="17" xfId="0" applyNumberFormat="1" applyFont="1" applyBorder="1" applyAlignment="1">
      <alignment horizontal="right"/>
    </xf>
    <xf numFmtId="0" fontId="10" fillId="0" borderId="2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39" xfId="0" applyFont="1" applyBorder="1" applyAlignment="1">
      <alignment/>
    </xf>
    <xf numFmtId="0" fontId="14" fillId="0" borderId="23" xfId="0" applyFont="1" applyBorder="1" applyAlignment="1">
      <alignment/>
    </xf>
    <xf numFmtId="3" fontId="14" fillId="0" borderId="49" xfId="0" applyNumberFormat="1" applyFont="1" applyBorder="1" applyAlignment="1">
      <alignment/>
    </xf>
    <xf numFmtId="3" fontId="14" fillId="0" borderId="80" xfId="0" applyNumberFormat="1" applyFont="1" applyBorder="1" applyAlignment="1">
      <alignment/>
    </xf>
    <xf numFmtId="0" fontId="19" fillId="0" borderId="52" xfId="0" applyFont="1" applyBorder="1" applyAlignment="1">
      <alignment/>
    </xf>
    <xf numFmtId="3" fontId="14" fillId="0" borderId="0" xfId="0" applyNumberFormat="1" applyFont="1" applyAlignment="1">
      <alignment horizontal="right"/>
    </xf>
    <xf numFmtId="3" fontId="10" fillId="0" borderId="54" xfId="0" applyNumberFormat="1" applyFont="1" applyBorder="1" applyAlignment="1" quotePrefix="1">
      <alignment horizontal="right"/>
    </xf>
    <xf numFmtId="3" fontId="40" fillId="0" borderId="0" xfId="0" applyNumberFormat="1" applyFont="1" applyAlignment="1">
      <alignment/>
    </xf>
    <xf numFmtId="2" fontId="2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3" fontId="37" fillId="0" borderId="11" xfId="0" applyNumberFormat="1" applyFont="1" applyBorder="1" applyAlignment="1">
      <alignment horizontal="center"/>
    </xf>
    <xf numFmtId="3" fontId="37" fillId="0" borderId="13" xfId="0" applyNumberFormat="1" applyFont="1" applyBorder="1" applyAlignment="1">
      <alignment/>
    </xf>
    <xf numFmtId="3" fontId="37" fillId="0" borderId="18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3" fontId="37" fillId="0" borderId="14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horizontal="center"/>
    </xf>
    <xf numFmtId="3" fontId="39" fillId="0" borderId="14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>
      <alignment horizontal="right"/>
    </xf>
    <xf numFmtId="3" fontId="29" fillId="0" borderId="0" xfId="0" applyNumberFormat="1" applyFont="1" applyAlignment="1">
      <alignment horizontal="right"/>
    </xf>
    <xf numFmtId="3" fontId="37" fillId="0" borderId="31" xfId="0" applyNumberFormat="1" applyFont="1" applyBorder="1" applyAlignment="1">
      <alignment horizontal="right"/>
    </xf>
    <xf numFmtId="0" fontId="40" fillId="0" borderId="60" xfId="0" applyFont="1" applyBorder="1" applyAlignment="1">
      <alignment horizontal="center"/>
    </xf>
    <xf numFmtId="3" fontId="37" fillId="0" borderId="21" xfId="0" applyNumberFormat="1" applyFont="1" applyBorder="1" applyAlignment="1">
      <alignment/>
    </xf>
    <xf numFmtId="3" fontId="37" fillId="0" borderId="53" xfId="0" applyNumberFormat="1" applyFont="1" applyBorder="1" applyAlignment="1">
      <alignment/>
    </xf>
    <xf numFmtId="3" fontId="37" fillId="0" borderId="54" xfId="0" applyNumberFormat="1" applyFont="1" applyBorder="1" applyAlignment="1">
      <alignment horizontal="right"/>
    </xf>
    <xf numFmtId="0" fontId="40" fillId="0" borderId="32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7" fillId="0" borderId="17" xfId="0" applyNumberFormat="1" applyFont="1" applyBorder="1" applyAlignment="1" quotePrefix="1">
      <alignment horizontal="right"/>
    </xf>
    <xf numFmtId="3" fontId="37" fillId="0" borderId="0" xfId="0" applyNumberFormat="1" applyFont="1" applyBorder="1" applyAlignment="1" quotePrefix="1">
      <alignment horizontal="right"/>
    </xf>
    <xf numFmtId="3" fontId="37" fillId="0" borderId="16" xfId="0" applyNumberFormat="1" applyFont="1" applyBorder="1" applyAlignment="1" quotePrefix="1">
      <alignment horizontal="right"/>
    </xf>
    <xf numFmtId="0" fontId="39" fillId="0" borderId="39" xfId="0" applyFont="1" applyBorder="1" applyAlignment="1">
      <alignment/>
    </xf>
    <xf numFmtId="3" fontId="29" fillId="0" borderId="17" xfId="0" applyNumberFormat="1" applyFont="1" applyBorder="1" applyAlignment="1">
      <alignment/>
    </xf>
    <xf numFmtId="3" fontId="29" fillId="0" borderId="16" xfId="0" applyNumberFormat="1" applyFont="1" applyBorder="1" applyAlignment="1">
      <alignment horizontal="right"/>
    </xf>
    <xf numFmtId="3" fontId="37" fillId="0" borderId="22" xfId="0" applyNumberFormat="1" applyFont="1" applyBorder="1" applyAlignment="1">
      <alignment/>
    </xf>
    <xf numFmtId="3" fontId="37" fillId="0" borderId="17" xfId="0" applyNumberFormat="1" applyFont="1" applyBorder="1" applyAlignment="1">
      <alignment/>
    </xf>
    <xf numFmtId="3" fontId="37" fillId="0" borderId="0" xfId="0" applyNumberFormat="1" applyFont="1" applyBorder="1" applyAlignment="1">
      <alignment horizontal="right"/>
    </xf>
    <xf numFmtId="3" fontId="37" fillId="0" borderId="16" xfId="0" applyNumberFormat="1" applyFont="1" applyBorder="1" applyAlignment="1">
      <alignment horizontal="right"/>
    </xf>
    <xf numFmtId="0" fontId="40" fillId="0" borderId="39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17" xfId="0" applyFont="1" applyBorder="1" applyAlignment="1">
      <alignment/>
    </xf>
    <xf numFmtId="1" fontId="29" fillId="0" borderId="0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39" xfId="0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49" xfId="0" applyNumberFormat="1" applyFont="1" applyBorder="1" applyAlignment="1">
      <alignment/>
    </xf>
    <xf numFmtId="3" fontId="29" fillId="0" borderId="80" xfId="0" applyNumberFormat="1" applyFont="1" applyBorder="1" applyAlignment="1">
      <alignment/>
    </xf>
    <xf numFmtId="0" fontId="39" fillId="0" borderId="52" xfId="0" applyFont="1" applyBorder="1" applyAlignment="1">
      <alignment/>
    </xf>
    <xf numFmtId="0" fontId="37" fillId="0" borderId="13" xfId="0" applyFont="1" applyBorder="1" applyAlignment="1">
      <alignment horizontal="center"/>
    </xf>
    <xf numFmtId="3" fontId="37" fillId="0" borderId="0" xfId="0" applyNumberFormat="1" applyFont="1" applyBorder="1" applyAlignment="1">
      <alignment/>
    </xf>
    <xf numFmtId="3" fontId="29" fillId="0" borderId="0" xfId="0" applyNumberFormat="1" applyFont="1" applyBorder="1" applyAlignment="1" quotePrefix="1">
      <alignment horizontal="right"/>
    </xf>
    <xf numFmtId="3" fontId="37" fillId="0" borderId="18" xfId="0" applyNumberFormat="1" applyFont="1" applyBorder="1" applyAlignment="1">
      <alignment horizontal="right"/>
    </xf>
    <xf numFmtId="3" fontId="29" fillId="0" borderId="17" xfId="0" applyNumberFormat="1" applyFont="1" applyBorder="1" applyAlignment="1" quotePrefix="1">
      <alignment horizontal="right"/>
    </xf>
    <xf numFmtId="3" fontId="29" fillId="0" borderId="16" xfId="0" applyNumberFormat="1" applyFont="1" applyBorder="1" applyAlignment="1" quotePrefix="1">
      <alignment horizontal="right"/>
    </xf>
    <xf numFmtId="3" fontId="37" fillId="0" borderId="18" xfId="0" applyNumberFormat="1" applyFont="1" applyBorder="1" applyAlignment="1" quotePrefix="1">
      <alignment horizontal="right"/>
    </xf>
    <xf numFmtId="3" fontId="37" fillId="0" borderId="53" xfId="0" applyNumberFormat="1" applyFont="1" applyBorder="1" applyAlignment="1" quotePrefix="1">
      <alignment horizontal="right"/>
    </xf>
    <xf numFmtId="3" fontId="37" fillId="0" borderId="31" xfId="0" applyNumberFormat="1" applyFont="1" applyBorder="1" applyAlignment="1" quotePrefix="1">
      <alignment horizontal="right"/>
    </xf>
    <xf numFmtId="3" fontId="37" fillId="0" borderId="54" xfId="0" applyNumberFormat="1" applyFont="1" applyBorder="1" applyAlignment="1" quotePrefix="1">
      <alignment horizontal="right"/>
    </xf>
    <xf numFmtId="3" fontId="37" fillId="0" borderId="49" xfId="0" applyNumberFormat="1" applyFont="1" applyBorder="1" applyAlignment="1" quotePrefix="1">
      <alignment horizontal="right"/>
    </xf>
    <xf numFmtId="3" fontId="37" fillId="0" borderId="36" xfId="0" applyNumberFormat="1" applyFont="1" applyBorder="1" applyAlignment="1" quotePrefix="1">
      <alignment horizontal="right"/>
    </xf>
    <xf numFmtId="3" fontId="37" fillId="0" borderId="80" xfId="0" applyNumberFormat="1" applyFont="1" applyBorder="1" applyAlignment="1" quotePrefix="1">
      <alignment horizontal="right"/>
    </xf>
    <xf numFmtId="0" fontId="37" fillId="0" borderId="15" xfId="0" applyFont="1" applyBorder="1" applyAlignment="1">
      <alignment horizontal="center"/>
    </xf>
    <xf numFmtId="3" fontId="37" fillId="0" borderId="15" xfId="0" applyNumberFormat="1" applyFont="1" applyBorder="1" applyAlignment="1">
      <alignment/>
    </xf>
    <xf numFmtId="0" fontId="40" fillId="0" borderId="32" xfId="0" applyFont="1" applyBorder="1" applyAlignment="1">
      <alignment horizontal="center"/>
    </xf>
    <xf numFmtId="0" fontId="80" fillId="0" borderId="0" xfId="0" applyFont="1" applyAlignment="1">
      <alignment/>
    </xf>
    <xf numFmtId="3" fontId="35" fillId="0" borderId="17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3" fontId="12" fillId="0" borderId="17" xfId="0" applyNumberFormat="1" applyFont="1" applyBorder="1" applyAlignment="1" quotePrefix="1">
      <alignment horizontal="right"/>
    </xf>
    <xf numFmtId="3" fontId="12" fillId="0" borderId="0" xfId="0" applyNumberFormat="1" applyFont="1" applyBorder="1" applyAlignment="1" quotePrefix="1">
      <alignment horizontal="right"/>
    </xf>
    <xf numFmtId="3" fontId="12" fillId="0" borderId="16" xfId="0" applyNumberFormat="1" applyFont="1" applyBorder="1" applyAlignment="1" quotePrefix="1">
      <alignment horizontal="right"/>
    </xf>
    <xf numFmtId="3" fontId="12" fillId="0" borderId="18" xfId="0" applyNumberFormat="1" applyFont="1" applyBorder="1" applyAlignment="1" quotePrefix="1">
      <alignment horizontal="right"/>
    </xf>
    <xf numFmtId="3" fontId="12" fillId="0" borderId="53" xfId="0" applyNumberFormat="1" applyFont="1" applyBorder="1" applyAlignment="1" quotePrefix="1">
      <alignment horizontal="right"/>
    </xf>
    <xf numFmtId="3" fontId="12" fillId="0" borderId="31" xfId="0" applyNumberFormat="1" applyFont="1" applyBorder="1" applyAlignment="1" quotePrefix="1">
      <alignment horizontal="right"/>
    </xf>
    <xf numFmtId="3" fontId="12" fillId="0" borderId="54" xfId="0" applyNumberFormat="1" applyFont="1" applyBorder="1" applyAlignment="1" quotePrefix="1">
      <alignment horizontal="right"/>
    </xf>
    <xf numFmtId="3" fontId="12" fillId="0" borderId="49" xfId="0" applyNumberFormat="1" applyFont="1" applyBorder="1" applyAlignment="1" quotePrefix="1">
      <alignment horizontal="right"/>
    </xf>
    <xf numFmtId="3" fontId="12" fillId="0" borderId="36" xfId="0" applyNumberFormat="1" applyFont="1" applyBorder="1" applyAlignment="1" quotePrefix="1">
      <alignment horizontal="right"/>
    </xf>
    <xf numFmtId="3" fontId="12" fillId="0" borderId="13" xfId="0" applyNumberFormat="1" applyFont="1" applyBorder="1" applyAlignment="1" quotePrefix="1">
      <alignment horizontal="right"/>
    </xf>
    <xf numFmtId="3" fontId="12" fillId="0" borderId="80" xfId="0" applyNumberFormat="1" applyFont="1" applyBorder="1" applyAlignment="1" quotePrefix="1">
      <alignment horizontal="right"/>
    </xf>
    <xf numFmtId="3" fontId="35" fillId="0" borderId="53" xfId="0" applyNumberFormat="1" applyFont="1" applyBorder="1" applyAlignment="1" quotePrefix="1">
      <alignment horizontal="right"/>
    </xf>
    <xf numFmtId="3" fontId="34" fillId="0" borderId="17" xfId="0" applyNumberFormat="1" applyFont="1" applyBorder="1" applyAlignment="1" quotePrefix="1">
      <alignment horizontal="right"/>
    </xf>
    <xf numFmtId="3" fontId="10" fillId="0" borderId="0" xfId="0" applyNumberFormat="1" applyFont="1" applyBorder="1" applyAlignment="1">
      <alignment horizontal="right"/>
    </xf>
    <xf numFmtId="3" fontId="31" fillId="0" borderId="81" xfId="0" applyNumberFormat="1" applyFont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49" fillId="0" borderId="0" xfId="0" applyNumberFormat="1" applyFont="1" applyBorder="1" applyAlignment="1">
      <alignment/>
    </xf>
    <xf numFmtId="3" fontId="49" fillId="0" borderId="39" xfId="0" applyNumberFormat="1" applyFont="1" applyBorder="1" applyAlignment="1">
      <alignment/>
    </xf>
    <xf numFmtId="3" fontId="50" fillId="0" borderId="39" xfId="0" applyNumberFormat="1" applyFont="1" applyBorder="1" applyAlignment="1">
      <alignment/>
    </xf>
    <xf numFmtId="3" fontId="48" fillId="0" borderId="80" xfId="0" applyNumberFormat="1" applyFont="1" applyBorder="1" applyAlignment="1">
      <alignment/>
    </xf>
    <xf numFmtId="3" fontId="48" fillId="0" borderId="18" xfId="0" applyNumberFormat="1" applyFont="1" applyBorder="1" applyAlignment="1" quotePrefix="1">
      <alignment horizontal="right"/>
    </xf>
    <xf numFmtId="3" fontId="12" fillId="0" borderId="17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0" fontId="12" fillId="0" borderId="0" xfId="0" applyFont="1" applyAlignment="1">
      <alignment horizontal="right"/>
    </xf>
    <xf numFmtId="3" fontId="29" fillId="0" borderId="17" xfId="0" applyNumberFormat="1" applyFont="1" applyFill="1" applyBorder="1" applyAlignment="1" quotePrefix="1">
      <alignment horizontal="right"/>
    </xf>
    <xf numFmtId="0" fontId="29" fillId="0" borderId="17" xfId="0" applyFont="1" applyFill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 horizontal="center" wrapText="1"/>
    </xf>
    <xf numFmtId="3" fontId="30" fillId="0" borderId="12" xfId="0" applyNumberFormat="1" applyFont="1" applyFill="1" applyBorder="1" applyAlignment="1">
      <alignment/>
    </xf>
    <xf numFmtId="3" fontId="49" fillId="0" borderId="12" xfId="0" applyNumberFormat="1" applyFont="1" applyFill="1" applyBorder="1" applyAlignment="1">
      <alignment horizontal="center" wrapText="1"/>
    </xf>
    <xf numFmtId="3" fontId="48" fillId="0" borderId="13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3" fontId="14" fillId="0" borderId="0" xfId="44" applyNumberFormat="1" applyFont="1" applyBorder="1" applyAlignment="1" quotePrefix="1">
      <alignment horizontal="right"/>
    </xf>
    <xf numFmtId="3" fontId="10" fillId="0" borderId="0" xfId="44" applyNumberFormat="1" applyFont="1" applyBorder="1" applyAlignment="1">
      <alignment/>
    </xf>
    <xf numFmtId="3" fontId="4" fillId="0" borderId="10" xfId="44" applyNumberFormat="1" applyFont="1" applyBorder="1" applyAlignment="1" quotePrefix="1">
      <alignment horizontal="right"/>
    </xf>
    <xf numFmtId="3" fontId="31" fillId="0" borderId="0" xfId="0" applyNumberFormat="1" applyFont="1" applyBorder="1" applyAlignment="1" quotePrefix="1">
      <alignment horizontal="right"/>
    </xf>
    <xf numFmtId="2" fontId="29" fillId="0" borderId="36" xfId="0" applyNumberFormat="1" applyFont="1" applyBorder="1" applyAlignment="1">
      <alignment horizontal="right"/>
    </xf>
    <xf numFmtId="0" fontId="41" fillId="0" borderId="14" xfId="0" applyFont="1" applyBorder="1" applyAlignment="1">
      <alignment/>
    </xf>
    <xf numFmtId="0" fontId="35" fillId="0" borderId="33" xfId="0" applyFont="1" applyBorder="1" applyAlignment="1">
      <alignment/>
    </xf>
    <xf numFmtId="0" fontId="34" fillId="0" borderId="33" xfId="0" applyFont="1" applyBorder="1" applyAlignment="1">
      <alignment/>
    </xf>
    <xf numFmtId="3" fontId="26" fillId="0" borderId="82" xfId="0" applyNumberFormat="1" applyFont="1" applyBorder="1" applyAlignment="1">
      <alignment horizontal="right"/>
    </xf>
    <xf numFmtId="4" fontId="14" fillId="0" borderId="12" xfId="0" applyNumberFormat="1" applyFont="1" applyBorder="1" applyAlignment="1" quotePrefix="1">
      <alignment horizontal="right"/>
    </xf>
    <xf numFmtId="4" fontId="14" fillId="0" borderId="52" xfId="0" applyNumberFormat="1" applyFont="1" applyBorder="1" applyAlignment="1" quotePrefix="1">
      <alignment horizontal="right"/>
    </xf>
    <xf numFmtId="0" fontId="14" fillId="0" borderId="83" xfId="0" applyFont="1" applyBorder="1" applyAlignment="1">
      <alignment horizontal="right"/>
    </xf>
    <xf numFmtId="3" fontId="14" fillId="0" borderId="44" xfId="0" applyNumberFormat="1" applyFont="1" applyBorder="1" applyAlignment="1">
      <alignment horizontal="right"/>
    </xf>
    <xf numFmtId="0" fontId="14" fillId="0" borderId="84" xfId="0" applyFont="1" applyBorder="1" applyAlignment="1" quotePrefix="1">
      <alignment horizontal="right"/>
    </xf>
    <xf numFmtId="0" fontId="14" fillId="0" borderId="85" xfId="0" applyFont="1" applyBorder="1" applyAlignment="1" quotePrefix="1">
      <alignment horizontal="right"/>
    </xf>
    <xf numFmtId="0" fontId="14" fillId="0" borderId="86" xfId="0" applyFont="1" applyBorder="1" applyAlignment="1" quotePrefix="1">
      <alignment horizontal="right"/>
    </xf>
    <xf numFmtId="0" fontId="14" fillId="0" borderId="87" xfId="0" applyFont="1" applyBorder="1" applyAlignment="1" quotePrefix="1">
      <alignment horizontal="right"/>
    </xf>
    <xf numFmtId="2" fontId="14" fillId="0" borderId="87" xfId="0" applyNumberFormat="1" applyFont="1" applyBorder="1" applyAlignment="1" quotePrefix="1">
      <alignment horizontal="right"/>
    </xf>
    <xf numFmtId="4" fontId="14" fillId="0" borderId="57" xfId="0" applyNumberFormat="1" applyFont="1" applyBorder="1" applyAlignment="1" quotePrefix="1">
      <alignment horizontal="right"/>
    </xf>
    <xf numFmtId="0" fontId="14" fillId="0" borderId="25" xfId="0" applyFont="1" applyBorder="1" applyAlignment="1" quotePrefix="1">
      <alignment horizontal="right"/>
    </xf>
    <xf numFmtId="0" fontId="14" fillId="0" borderId="57" xfId="0" applyFont="1" applyBorder="1" applyAlignment="1" quotePrefix="1">
      <alignment horizontal="right"/>
    </xf>
    <xf numFmtId="0" fontId="14" fillId="0" borderId="30" xfId="0" applyFont="1" applyBorder="1" applyAlignment="1" quotePrefix="1">
      <alignment horizontal="right"/>
    </xf>
    <xf numFmtId="0" fontId="14" fillId="0" borderId="29" xfId="0" applyFont="1" applyBorder="1" applyAlignment="1" quotePrefix="1">
      <alignment horizontal="right"/>
    </xf>
    <xf numFmtId="0" fontId="14" fillId="0" borderId="30" xfId="0" applyFont="1" applyBorder="1" applyAlignment="1">
      <alignment horizontal="right"/>
    </xf>
    <xf numFmtId="0" fontId="14" fillId="0" borderId="34" xfId="0" applyFont="1" applyBorder="1" applyAlignment="1" quotePrefix="1">
      <alignment horizontal="right"/>
    </xf>
    <xf numFmtId="0" fontId="14" fillId="0" borderId="35" xfId="0" applyFont="1" applyBorder="1" applyAlignment="1" quotePrefix="1">
      <alignment horizontal="right"/>
    </xf>
    <xf numFmtId="0" fontId="14" fillId="0" borderId="31" xfId="0" applyFont="1" applyBorder="1" applyAlignment="1">
      <alignment/>
    </xf>
    <xf numFmtId="3" fontId="14" fillId="0" borderId="32" xfId="0" applyNumberFormat="1" applyFont="1" applyBorder="1" applyAlignment="1">
      <alignment/>
    </xf>
    <xf numFmtId="4" fontId="10" fillId="0" borderId="51" xfId="0" applyNumberFormat="1" applyFont="1" applyBorder="1" applyAlignment="1" quotePrefix="1">
      <alignment horizontal="right"/>
    </xf>
    <xf numFmtId="4" fontId="10" fillId="0" borderId="88" xfId="0" applyNumberFormat="1" applyFont="1" applyBorder="1" applyAlignment="1" quotePrefix="1">
      <alignment horizontal="right"/>
    </xf>
    <xf numFmtId="3" fontId="65" fillId="0" borderId="15" xfId="0" applyNumberFormat="1" applyFont="1" applyBorder="1" applyAlignment="1">
      <alignment/>
    </xf>
    <xf numFmtId="3" fontId="65" fillId="0" borderId="32" xfId="0" applyNumberFormat="1" applyFont="1" applyBorder="1" applyAlignment="1">
      <alignment horizontal="right"/>
    </xf>
    <xf numFmtId="0" fontId="65" fillId="0" borderId="11" xfId="0" applyFont="1" applyBorder="1" applyAlignment="1">
      <alignment horizontal="right"/>
    </xf>
    <xf numFmtId="3" fontId="66" fillId="0" borderId="14" xfId="0" applyNumberFormat="1" applyFont="1" applyBorder="1" applyAlignment="1">
      <alignment/>
    </xf>
    <xf numFmtId="3" fontId="66" fillId="0" borderId="12" xfId="0" applyNumberFormat="1" applyFont="1" applyBorder="1" applyAlignment="1">
      <alignment/>
    </xf>
    <xf numFmtId="3" fontId="66" fillId="0" borderId="12" xfId="0" applyNumberFormat="1" applyFont="1" applyBorder="1" applyAlignment="1" quotePrefix="1">
      <alignment horizontal="right"/>
    </xf>
    <xf numFmtId="3" fontId="66" fillId="0" borderId="33" xfId="0" applyNumberFormat="1" applyFont="1" applyBorder="1" applyAlignment="1">
      <alignment/>
    </xf>
    <xf numFmtId="3" fontId="66" fillId="0" borderId="14" xfId="0" applyNumberFormat="1" applyFont="1" applyBorder="1" applyAlignment="1">
      <alignment horizontal="right"/>
    </xf>
    <xf numFmtId="0" fontId="25" fillId="0" borderId="89" xfId="0" applyFont="1" applyBorder="1" applyAlignment="1">
      <alignment/>
    </xf>
    <xf numFmtId="0" fontId="25" fillId="0" borderId="90" xfId="0" applyFont="1" applyBorder="1" applyAlignment="1">
      <alignment/>
    </xf>
    <xf numFmtId="0" fontId="25" fillId="0" borderId="9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9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5" fillId="0" borderId="79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65" fillId="0" borderId="93" xfId="0" applyFont="1" applyBorder="1" applyAlignment="1">
      <alignment/>
    </xf>
    <xf numFmtId="0" fontId="67" fillId="0" borderId="94" xfId="0" applyFont="1" applyBorder="1" applyAlignment="1">
      <alignment/>
    </xf>
    <xf numFmtId="0" fontId="65" fillId="0" borderId="95" xfId="0" applyFont="1" applyBorder="1" applyAlignment="1">
      <alignment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2" fontId="36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/>
    </xf>
    <xf numFmtId="3" fontId="34" fillId="0" borderId="53" xfId="0" applyNumberFormat="1" applyFont="1" applyBorder="1" applyAlignment="1" quotePrefix="1">
      <alignment horizontal="right"/>
    </xf>
    <xf numFmtId="3" fontId="34" fillId="0" borderId="31" xfId="0" applyNumberFormat="1" applyFont="1" applyBorder="1" applyAlignment="1" quotePrefix="1">
      <alignment horizontal="right"/>
    </xf>
    <xf numFmtId="3" fontId="34" fillId="0" borderId="54" xfId="0" applyNumberFormat="1" applyFont="1" applyBorder="1" applyAlignment="1" quotePrefix="1">
      <alignment horizontal="right"/>
    </xf>
    <xf numFmtId="0" fontId="35" fillId="0" borderId="0" xfId="0" applyFont="1" applyBorder="1" applyAlignment="1">
      <alignment horizontal="right"/>
    </xf>
    <xf numFmtId="0" fontId="35" fillId="0" borderId="17" xfId="0" applyFont="1" applyBorder="1" applyAlignment="1">
      <alignment horizontal="right"/>
    </xf>
    <xf numFmtId="0" fontId="34" fillId="0" borderId="17" xfId="0" applyFont="1" applyBorder="1" applyAlignment="1" quotePrefix="1">
      <alignment horizontal="right"/>
    </xf>
    <xf numFmtId="0" fontId="34" fillId="0" borderId="0" xfId="0" applyFont="1" applyBorder="1" applyAlignment="1" quotePrefix="1">
      <alignment horizontal="right"/>
    </xf>
    <xf numFmtId="0" fontId="34" fillId="0" borderId="16" xfId="0" applyFont="1" applyBorder="1" applyAlignment="1" quotePrefix="1">
      <alignment horizontal="right"/>
    </xf>
    <xf numFmtId="3" fontId="34" fillId="0" borderId="16" xfId="0" applyNumberFormat="1" applyFont="1" applyBorder="1" applyAlignment="1" quotePrefix="1">
      <alignment horizontal="right"/>
    </xf>
    <xf numFmtId="0" fontId="34" fillId="0" borderId="0" xfId="0" applyFont="1" applyBorder="1" applyAlignment="1">
      <alignment horizontal="right"/>
    </xf>
    <xf numFmtId="0" fontId="34" fillId="0" borderId="17" xfId="0" applyFont="1" applyBorder="1" applyAlignment="1">
      <alignment horizontal="right"/>
    </xf>
    <xf numFmtId="3" fontId="34" fillId="0" borderId="19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2" xfId="0" applyFont="1" applyBorder="1" applyAlignment="1">
      <alignment/>
    </xf>
    <xf numFmtId="3" fontId="11" fillId="0" borderId="49" xfId="0" applyNumberFormat="1" applyFont="1" applyBorder="1" applyAlignment="1">
      <alignment/>
    </xf>
    <xf numFmtId="3" fontId="11" fillId="0" borderId="80" xfId="0" applyNumberFormat="1" applyFont="1" applyBorder="1" applyAlignment="1">
      <alignment/>
    </xf>
    <xf numFmtId="1" fontId="35" fillId="0" borderId="0" xfId="0" applyNumberFormat="1" applyFont="1" applyAlignment="1">
      <alignment/>
    </xf>
    <xf numFmtId="0" fontId="35" fillId="0" borderId="13" xfId="0" applyFont="1" applyBorder="1" applyAlignment="1">
      <alignment horizontal="center"/>
    </xf>
    <xf numFmtId="1" fontId="34" fillId="0" borderId="11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1" fontId="34" fillId="0" borderId="12" xfId="0" applyNumberFormat="1" applyFont="1" applyBorder="1" applyAlignment="1">
      <alignment horizontal="center"/>
    </xf>
    <xf numFmtId="1" fontId="34" fillId="0" borderId="14" xfId="0" applyNumberFormat="1" applyFont="1" applyBorder="1" applyAlignment="1">
      <alignment horizontal="center"/>
    </xf>
    <xf numFmtId="3" fontId="35" fillId="0" borderId="60" xfId="0" applyNumberFormat="1" applyFont="1" applyBorder="1" applyAlignment="1">
      <alignment horizontal="center"/>
    </xf>
    <xf numFmtId="3" fontId="35" fillId="0" borderId="53" xfId="0" applyNumberFormat="1" applyFont="1" applyBorder="1" applyAlignment="1">
      <alignment/>
    </xf>
    <xf numFmtId="3" fontId="35" fillId="0" borderId="31" xfId="0" applyNumberFormat="1" applyFont="1" applyBorder="1" applyAlignment="1">
      <alignment/>
    </xf>
    <xf numFmtId="3" fontId="35" fillId="0" borderId="54" xfId="0" applyNumberFormat="1" applyFont="1" applyBorder="1" applyAlignment="1">
      <alignment/>
    </xf>
    <xf numFmtId="3" fontId="35" fillId="0" borderId="53" xfId="0" applyNumberFormat="1" applyFont="1" applyBorder="1" applyAlignment="1">
      <alignment horizontal="right"/>
    </xf>
    <xf numFmtId="0" fontId="42" fillId="0" borderId="32" xfId="0" applyFont="1" applyBorder="1" applyAlignment="1">
      <alignment/>
    </xf>
    <xf numFmtId="3" fontId="34" fillId="0" borderId="17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3" fontId="34" fillId="0" borderId="16" xfId="0" applyNumberFormat="1" applyFont="1" applyBorder="1" applyAlignment="1">
      <alignment/>
    </xf>
    <xf numFmtId="3" fontId="34" fillId="0" borderId="17" xfId="0" applyNumberFormat="1" applyFont="1" applyBorder="1" applyAlignment="1">
      <alignment horizontal="right"/>
    </xf>
    <xf numFmtId="3" fontId="34" fillId="0" borderId="16" xfId="0" applyNumberFormat="1" applyFont="1" applyBorder="1" applyAlignment="1">
      <alignment horizontal="right"/>
    </xf>
    <xf numFmtId="0" fontId="41" fillId="0" borderId="39" xfId="0" applyFont="1" applyBorder="1" applyAlignment="1">
      <alignment/>
    </xf>
    <xf numFmtId="3" fontId="35" fillId="0" borderId="17" xfId="0" applyNumberFormat="1" applyFont="1" applyBorder="1" applyAlignment="1">
      <alignment/>
    </xf>
    <xf numFmtId="3" fontId="35" fillId="0" borderId="17" xfId="0" applyNumberFormat="1" applyFont="1" applyBorder="1" applyAlignment="1">
      <alignment horizontal="right"/>
    </xf>
    <xf numFmtId="0" fontId="42" fillId="0" borderId="39" xfId="0" applyFont="1" applyBorder="1" applyAlignment="1">
      <alignment/>
    </xf>
    <xf numFmtId="0" fontId="35" fillId="0" borderId="39" xfId="0" applyFont="1" applyBorder="1" applyAlignment="1">
      <alignment/>
    </xf>
    <xf numFmtId="0" fontId="34" fillId="0" borderId="43" xfId="0" applyFont="1" applyBorder="1" applyAlignment="1">
      <alignment/>
    </xf>
    <xf numFmtId="3" fontId="34" fillId="0" borderId="36" xfId="0" applyNumberFormat="1" applyFont="1" applyBorder="1" applyAlignment="1">
      <alignment/>
    </xf>
    <xf numFmtId="3" fontId="34" fillId="0" borderId="80" xfId="0" applyNumberFormat="1" applyFont="1" applyBorder="1" applyAlignment="1" quotePrefix="1">
      <alignment horizontal="right"/>
    </xf>
    <xf numFmtId="0" fontId="41" fillId="0" borderId="52" xfId="0" applyFont="1" applyBorder="1" applyAlignment="1">
      <alignment/>
    </xf>
    <xf numFmtId="3" fontId="35" fillId="0" borderId="13" xfId="0" applyNumberFormat="1" applyFont="1" applyBorder="1" applyAlignment="1">
      <alignment horizontal="center"/>
    </xf>
    <xf numFmtId="3" fontId="35" fillId="0" borderId="18" xfId="0" applyNumberFormat="1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/>
    </xf>
    <xf numFmtId="3" fontId="42" fillId="0" borderId="60" xfId="0" applyNumberFormat="1" applyFont="1" applyBorder="1" applyAlignment="1">
      <alignment/>
    </xf>
    <xf numFmtId="3" fontId="35" fillId="0" borderId="21" xfId="0" applyNumberFormat="1" applyFont="1" applyBorder="1" applyAlignment="1">
      <alignment/>
    </xf>
    <xf numFmtId="3" fontId="35" fillId="0" borderId="16" xfId="0" applyNumberFormat="1" applyFont="1" applyBorder="1" applyAlignment="1" quotePrefix="1">
      <alignment horizontal="right"/>
    </xf>
    <xf numFmtId="3" fontId="35" fillId="0" borderId="31" xfId="0" applyNumberFormat="1" applyFont="1" applyBorder="1" applyAlignment="1" quotePrefix="1">
      <alignment horizontal="right"/>
    </xf>
    <xf numFmtId="3" fontId="35" fillId="0" borderId="54" xfId="0" applyNumberFormat="1" applyFont="1" applyBorder="1" applyAlignment="1" quotePrefix="1">
      <alignment horizontal="right"/>
    </xf>
    <xf numFmtId="3" fontId="34" fillId="0" borderId="22" xfId="0" applyNumberFormat="1" applyFont="1" applyBorder="1" applyAlignment="1">
      <alignment/>
    </xf>
    <xf numFmtId="3" fontId="35" fillId="0" borderId="17" xfId="0" applyNumberFormat="1" applyFont="1" applyBorder="1" applyAlignment="1" quotePrefix="1">
      <alignment horizontal="right"/>
    </xf>
    <xf numFmtId="3" fontId="35" fillId="0" borderId="0" xfId="0" applyNumberFormat="1" applyFont="1" applyBorder="1" applyAlignment="1" quotePrefix="1">
      <alignment horizontal="right"/>
    </xf>
    <xf numFmtId="3" fontId="35" fillId="0" borderId="22" xfId="0" applyNumberFormat="1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17" xfId="0" applyFont="1" applyBorder="1" applyAlignment="1">
      <alignment/>
    </xf>
    <xf numFmtId="1" fontId="34" fillId="0" borderId="0" xfId="0" applyNumberFormat="1" applyFont="1" applyBorder="1" applyAlignment="1">
      <alignment/>
    </xf>
    <xf numFmtId="0" fontId="34" fillId="0" borderId="16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6" xfId="0" applyFont="1" applyBorder="1" applyAlignment="1">
      <alignment/>
    </xf>
    <xf numFmtId="0" fontId="34" fillId="0" borderId="23" xfId="0" applyFont="1" applyBorder="1" applyAlignment="1">
      <alignment/>
    </xf>
    <xf numFmtId="3" fontId="35" fillId="0" borderId="49" xfId="0" applyNumberFormat="1" applyFont="1" applyBorder="1" applyAlignment="1" quotePrefix="1">
      <alignment horizontal="right"/>
    </xf>
    <xf numFmtId="3" fontId="35" fillId="0" borderId="36" xfId="0" applyNumberFormat="1" applyFont="1" applyBorder="1" applyAlignment="1" quotePrefix="1">
      <alignment horizontal="right"/>
    </xf>
    <xf numFmtId="3" fontId="35" fillId="0" borderId="80" xfId="0" applyNumberFormat="1" applyFont="1" applyBorder="1" applyAlignment="1" quotePrefix="1">
      <alignment horizontal="right"/>
    </xf>
    <xf numFmtId="0" fontId="42" fillId="0" borderId="19" xfId="0" applyFont="1" applyBorder="1" applyAlignment="1">
      <alignment/>
    </xf>
    <xf numFmtId="3" fontId="34" fillId="0" borderId="18" xfId="0" applyNumberFormat="1" applyFont="1" applyBorder="1" applyAlignment="1">
      <alignment horizontal="right"/>
    </xf>
    <xf numFmtId="3" fontId="34" fillId="0" borderId="19" xfId="0" applyNumberFormat="1" applyFont="1" applyBorder="1" applyAlignment="1">
      <alignment horizontal="right"/>
    </xf>
    <xf numFmtId="3" fontId="42" fillId="0" borderId="60" xfId="0" applyNumberFormat="1" applyFont="1" applyBorder="1" applyAlignment="1">
      <alignment horizontal="center"/>
    </xf>
    <xf numFmtId="3" fontId="34" fillId="0" borderId="17" xfId="0" applyNumberFormat="1" applyFont="1" applyFill="1" applyBorder="1" applyAlignment="1" quotePrefix="1">
      <alignment horizontal="right"/>
    </xf>
    <xf numFmtId="3" fontId="34" fillId="0" borderId="16" xfId="0" applyNumberFormat="1" applyFont="1" applyFill="1" applyBorder="1" applyAlignment="1" quotePrefix="1">
      <alignment horizontal="right"/>
    </xf>
    <xf numFmtId="0" fontId="34" fillId="0" borderId="16" xfId="0" applyFont="1" applyBorder="1" applyAlignment="1">
      <alignment horizontal="right"/>
    </xf>
    <xf numFmtId="3" fontId="34" fillId="0" borderId="49" xfId="0" applyNumberFormat="1" applyFont="1" applyBorder="1" applyAlignment="1" quotePrefix="1">
      <alignment horizontal="right"/>
    </xf>
    <xf numFmtId="3" fontId="34" fillId="0" borderId="18" xfId="0" applyNumberFormat="1" applyFont="1" applyBorder="1" applyAlignment="1">
      <alignment horizontal="center"/>
    </xf>
    <xf numFmtId="3" fontId="34" fillId="0" borderId="96" xfId="0" applyNumberFormat="1" applyFont="1" applyBorder="1" applyAlignment="1">
      <alignment horizontal="center"/>
    </xf>
    <xf numFmtId="3" fontId="34" fillId="0" borderId="97" xfId="0" applyNumberFormat="1" applyFont="1" applyBorder="1" applyAlignment="1">
      <alignment horizontal="center"/>
    </xf>
    <xf numFmtId="3" fontId="42" fillId="0" borderId="32" xfId="0" applyNumberFormat="1" applyFont="1" applyBorder="1" applyAlignment="1">
      <alignment horizontal="center"/>
    </xf>
    <xf numFmtId="0" fontId="41" fillId="0" borderId="19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35" fillId="0" borderId="16" xfId="0" applyFont="1" applyBorder="1" applyAlignment="1" quotePrefix="1">
      <alignment horizontal="right"/>
    </xf>
    <xf numFmtId="0" fontId="35" fillId="0" borderId="16" xfId="0" applyFont="1" applyBorder="1" applyAlignment="1">
      <alignment horizontal="right"/>
    </xf>
    <xf numFmtId="3" fontId="34" fillId="0" borderId="8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3" xfId="0" applyFont="1" applyBorder="1" applyAlignment="1">
      <alignment/>
    </xf>
    <xf numFmtId="1" fontId="11" fillId="0" borderId="18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2" fillId="0" borderId="14" xfId="0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3" fontId="12" fillId="0" borderId="19" xfId="0" applyNumberFormat="1" applyFont="1" applyBorder="1" applyAlignment="1" quotePrefix="1">
      <alignment horizontal="right"/>
    </xf>
    <xf numFmtId="0" fontId="17" fillId="0" borderId="60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" fontId="11" fillId="0" borderId="14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3" fontId="18" fillId="0" borderId="17" xfId="0" applyNumberFormat="1" applyFont="1" applyBorder="1" applyAlignment="1" quotePrefix="1">
      <alignment horizontal="right"/>
    </xf>
    <xf numFmtId="3" fontId="18" fillId="0" borderId="0" xfId="0" applyNumberFormat="1" applyFont="1" applyBorder="1" applyAlignment="1" quotePrefix="1">
      <alignment horizontal="right"/>
    </xf>
    <xf numFmtId="3" fontId="18" fillId="0" borderId="16" xfId="0" applyNumberFormat="1" applyFont="1" applyBorder="1" applyAlignment="1" quotePrefix="1">
      <alignment horizontal="right"/>
    </xf>
    <xf numFmtId="3" fontId="11" fillId="0" borderId="17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 horizontal="right"/>
    </xf>
    <xf numFmtId="3" fontId="18" fillId="0" borderId="53" xfId="0" applyNumberFormat="1" applyFont="1" applyBorder="1" applyAlignment="1" quotePrefix="1">
      <alignment horizontal="right"/>
    </xf>
    <xf numFmtId="3" fontId="18" fillId="0" borderId="31" xfId="0" applyNumberFormat="1" applyFont="1" applyBorder="1" applyAlignment="1" quotePrefix="1">
      <alignment horizontal="right"/>
    </xf>
    <xf numFmtId="3" fontId="18" fillId="0" borderId="17" xfId="0" applyNumberFormat="1" applyFont="1" applyFill="1" applyBorder="1" applyAlignment="1" quotePrefix="1">
      <alignment horizontal="right"/>
    </xf>
    <xf numFmtId="3" fontId="18" fillId="0" borderId="0" xfId="0" applyNumberFormat="1" applyFont="1" applyFill="1" applyBorder="1" applyAlignment="1" quotePrefix="1">
      <alignment horizontal="right"/>
    </xf>
    <xf numFmtId="3" fontId="18" fillId="0" borderId="16" xfId="0" applyNumberFormat="1" applyFont="1" applyFill="1" applyBorder="1" applyAlignment="1" quotePrefix="1">
      <alignment horizontal="right"/>
    </xf>
    <xf numFmtId="3" fontId="11" fillId="0" borderId="16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/>
    </xf>
    <xf numFmtId="3" fontId="18" fillId="0" borderId="49" xfId="0" applyNumberFormat="1" applyFont="1" applyBorder="1" applyAlignment="1" quotePrefix="1">
      <alignment horizontal="right"/>
    </xf>
    <xf numFmtId="3" fontId="18" fillId="0" borderId="36" xfId="0" applyNumberFormat="1" applyFont="1" applyBorder="1" applyAlignment="1" quotePrefix="1">
      <alignment horizontal="right"/>
    </xf>
    <xf numFmtId="3" fontId="18" fillId="0" borderId="80" xfId="0" applyNumberFormat="1" applyFont="1" applyBorder="1" applyAlignment="1" quotePrefix="1">
      <alignment horizontal="right"/>
    </xf>
    <xf numFmtId="3" fontId="18" fillId="0" borderId="49" xfId="0" applyNumberFormat="1" applyFont="1" applyFill="1" applyBorder="1" applyAlignment="1" quotePrefix="1">
      <alignment horizontal="right"/>
    </xf>
    <xf numFmtId="3" fontId="18" fillId="0" borderId="36" xfId="0" applyNumberFormat="1" applyFont="1" applyFill="1" applyBorder="1" applyAlignment="1" quotePrefix="1">
      <alignment horizontal="right"/>
    </xf>
    <xf numFmtId="3" fontId="18" fillId="0" borderId="80" xfId="0" applyNumberFormat="1" applyFont="1" applyFill="1" applyBorder="1" applyAlignment="1" quotePrefix="1">
      <alignment horizontal="right"/>
    </xf>
    <xf numFmtId="3" fontId="35" fillId="0" borderId="53" xfId="0" applyNumberFormat="1" applyFont="1" applyFill="1" applyBorder="1" applyAlignment="1">
      <alignment/>
    </xf>
    <xf numFmtId="3" fontId="34" fillId="0" borderId="16" xfId="0" applyNumberFormat="1" applyFont="1" applyFill="1" applyBorder="1" applyAlignment="1">
      <alignment horizontal="right"/>
    </xf>
    <xf numFmtId="3" fontId="34" fillId="0" borderId="17" xfId="0" applyNumberFormat="1" applyFont="1" applyFill="1" applyBorder="1" applyAlignment="1">
      <alignment/>
    </xf>
    <xf numFmtId="3" fontId="35" fillId="0" borderId="16" xfId="0" applyNumberFormat="1" applyFont="1" applyFill="1" applyBorder="1" applyAlignment="1">
      <alignment horizontal="right"/>
    </xf>
    <xf numFmtId="3" fontId="35" fillId="0" borderId="17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right"/>
    </xf>
    <xf numFmtId="3" fontId="34" fillId="0" borderId="16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5" fillId="0" borderId="16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4" fillId="0" borderId="80" xfId="0" applyNumberFormat="1" applyFont="1" applyFill="1" applyBorder="1" applyAlignment="1">
      <alignment/>
    </xf>
    <xf numFmtId="3" fontId="34" fillId="0" borderId="49" xfId="0" applyNumberFormat="1" applyFont="1" applyFill="1" applyBorder="1" applyAlignment="1">
      <alignment/>
    </xf>
    <xf numFmtId="3" fontId="34" fillId="0" borderId="36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7" fillId="0" borderId="14" xfId="0" applyFont="1" applyFill="1" applyBorder="1" applyAlignment="1">
      <alignment horizontal="center"/>
    </xf>
    <xf numFmtId="3" fontId="29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3" fontId="29" fillId="0" borderId="14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3" fontId="37" fillId="0" borderId="31" xfId="0" applyNumberFormat="1" applyFont="1" applyFill="1" applyBorder="1" applyAlignment="1">
      <alignment horizontal="right"/>
    </xf>
    <xf numFmtId="0" fontId="40" fillId="0" borderId="19" xfId="0" applyFont="1" applyBorder="1" applyAlignment="1">
      <alignment horizontal="center"/>
    </xf>
    <xf numFmtId="2" fontId="37" fillId="0" borderId="53" xfId="0" applyNumberFormat="1" applyFont="1" applyFill="1" applyBorder="1" applyAlignment="1" quotePrefix="1">
      <alignment horizontal="right"/>
    </xf>
    <xf numFmtId="2" fontId="37" fillId="0" borderId="31" xfId="0" applyNumberFormat="1" applyFont="1" applyFill="1" applyBorder="1" applyAlignment="1" quotePrefix="1">
      <alignment horizontal="right"/>
    </xf>
    <xf numFmtId="2" fontId="37" fillId="0" borderId="54" xfId="0" applyNumberFormat="1" applyFont="1" applyFill="1" applyBorder="1" applyAlignment="1" quotePrefix="1">
      <alignment horizontal="right"/>
    </xf>
    <xf numFmtId="3" fontId="29" fillId="0" borderId="33" xfId="0" applyNumberFormat="1" applyFont="1" applyBorder="1" applyAlignment="1">
      <alignment/>
    </xf>
    <xf numFmtId="2" fontId="37" fillId="0" borderId="17" xfId="0" applyNumberFormat="1" applyFont="1" applyFill="1" applyBorder="1" applyAlignment="1" quotePrefix="1">
      <alignment horizontal="right"/>
    </xf>
    <xf numFmtId="2" fontId="37" fillId="0" borderId="0" xfId="0" applyNumberFormat="1" applyFont="1" applyFill="1" applyBorder="1" applyAlignment="1" quotePrefix="1">
      <alignment horizontal="right"/>
    </xf>
    <xf numFmtId="2" fontId="37" fillId="0" borderId="16" xfId="0" applyNumberFormat="1" applyFont="1" applyFill="1" applyBorder="1" applyAlignment="1" quotePrefix="1">
      <alignment horizontal="right"/>
    </xf>
    <xf numFmtId="2" fontId="29" fillId="0" borderId="17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2" fontId="29" fillId="0" borderId="16" xfId="0" applyNumberFormat="1" applyFont="1" applyFill="1" applyBorder="1" applyAlignment="1">
      <alignment horizontal="right"/>
    </xf>
    <xf numFmtId="3" fontId="37" fillId="0" borderId="33" xfId="0" applyNumberFormat="1" applyFont="1" applyBorder="1" applyAlignment="1">
      <alignment/>
    </xf>
    <xf numFmtId="2" fontId="37" fillId="0" borderId="17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2" fontId="37" fillId="0" borderId="16" xfId="0" applyNumberFormat="1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right"/>
    </xf>
    <xf numFmtId="0" fontId="29" fillId="0" borderId="0" xfId="0" applyFont="1" applyBorder="1" applyAlignment="1">
      <alignment/>
    </xf>
    <xf numFmtId="3" fontId="29" fillId="0" borderId="17" xfId="0" applyNumberFormat="1" applyFont="1" applyBorder="1" applyAlignment="1">
      <alignment horizontal="right"/>
    </xf>
    <xf numFmtId="0" fontId="37" fillId="0" borderId="33" xfId="0" applyFont="1" applyBorder="1" applyAlignment="1">
      <alignment/>
    </xf>
    <xf numFmtId="0" fontId="37" fillId="0" borderId="0" xfId="0" applyFont="1" applyFill="1" applyBorder="1" applyAlignment="1">
      <alignment horizontal="right"/>
    </xf>
    <xf numFmtId="2" fontId="37" fillId="0" borderId="49" xfId="0" applyNumberFormat="1" applyFont="1" applyFill="1" applyBorder="1" applyAlignment="1" quotePrefix="1">
      <alignment horizontal="right"/>
    </xf>
    <xf numFmtId="2" fontId="37" fillId="0" borderId="36" xfId="0" applyNumberFormat="1" applyFont="1" applyFill="1" applyBorder="1" applyAlignment="1" quotePrefix="1">
      <alignment horizontal="right"/>
    </xf>
    <xf numFmtId="2" fontId="37" fillId="0" borderId="80" xfId="0" applyNumberFormat="1" applyFont="1" applyFill="1" applyBorder="1" applyAlignment="1" quotePrefix="1">
      <alignment horizontal="right"/>
    </xf>
    <xf numFmtId="3" fontId="29" fillId="0" borderId="12" xfId="0" applyNumberFormat="1" applyFont="1" applyFill="1" applyBorder="1" applyAlignment="1">
      <alignment horizontal="center"/>
    </xf>
    <xf numFmtId="177" fontId="37" fillId="0" borderId="18" xfId="0" applyNumberFormat="1" applyFont="1" applyBorder="1" applyAlignment="1">
      <alignment/>
    </xf>
    <xf numFmtId="177" fontId="37" fillId="0" borderId="17" xfId="0" applyNumberFormat="1" applyFont="1" applyBorder="1" applyAlignment="1" quotePrefix="1">
      <alignment horizontal="right"/>
    </xf>
    <xf numFmtId="177" fontId="37" fillId="0" borderId="16" xfId="0" applyNumberFormat="1" applyFont="1" applyBorder="1" applyAlignment="1" quotePrefix="1">
      <alignment horizontal="right"/>
    </xf>
    <xf numFmtId="177" fontId="29" fillId="0" borderId="16" xfId="0" applyNumberFormat="1" applyFont="1" applyBorder="1" applyAlignment="1" quotePrefix="1">
      <alignment horizontal="right"/>
    </xf>
    <xf numFmtId="177" fontId="29" fillId="0" borderId="17" xfId="0" applyNumberFormat="1" applyFont="1" applyBorder="1" applyAlignment="1">
      <alignment/>
    </xf>
    <xf numFmtId="177" fontId="29" fillId="0" borderId="16" xfId="0" applyNumberFormat="1" applyFont="1" applyBorder="1" applyAlignment="1">
      <alignment horizontal="right"/>
    </xf>
    <xf numFmtId="177" fontId="37" fillId="0" borderId="17" xfId="0" applyNumberFormat="1" applyFont="1" applyBorder="1" applyAlignment="1">
      <alignment/>
    </xf>
    <xf numFmtId="177" fontId="37" fillId="0" borderId="16" xfId="0" applyNumberFormat="1" applyFont="1" applyBorder="1" applyAlignment="1">
      <alignment horizontal="right"/>
    </xf>
    <xf numFmtId="177" fontId="29" fillId="0" borderId="16" xfId="0" applyNumberFormat="1" applyFont="1" applyBorder="1" applyAlignment="1">
      <alignment/>
    </xf>
    <xf numFmtId="177" fontId="37" fillId="0" borderId="16" xfId="0" applyNumberFormat="1" applyFont="1" applyBorder="1" applyAlignment="1">
      <alignment/>
    </xf>
    <xf numFmtId="177" fontId="37" fillId="0" borderId="17" xfId="0" applyNumberFormat="1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177" fontId="37" fillId="0" borderId="49" xfId="0" applyNumberFormat="1" applyFont="1" applyBorder="1" applyAlignment="1" quotePrefix="1">
      <alignment horizontal="right"/>
    </xf>
    <xf numFmtId="177" fontId="37" fillId="0" borderId="80" xfId="0" applyNumberFormat="1" applyFont="1" applyBorder="1" applyAlignment="1" quotePrefix="1">
      <alignment horizontal="right"/>
    </xf>
    <xf numFmtId="0" fontId="39" fillId="0" borderId="0" xfId="0" applyFont="1" applyAlignment="1">
      <alignment/>
    </xf>
    <xf numFmtId="0" fontId="29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7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4" fontId="37" fillId="0" borderId="31" xfId="0" applyNumberFormat="1" applyFont="1" applyBorder="1" applyAlignment="1">
      <alignment/>
    </xf>
    <xf numFmtId="3" fontId="37" fillId="0" borderId="13" xfId="0" applyNumberFormat="1" applyFont="1" applyFill="1" applyBorder="1" applyAlignment="1">
      <alignment/>
    </xf>
    <xf numFmtId="3" fontId="37" fillId="0" borderId="18" xfId="0" applyNumberFormat="1" applyFont="1" applyFill="1" applyBorder="1" applyAlignment="1">
      <alignment horizontal="right"/>
    </xf>
    <xf numFmtId="2" fontId="37" fillId="0" borderId="53" xfId="0" applyNumberFormat="1" applyFont="1" applyBorder="1" applyAlignment="1" quotePrefix="1">
      <alignment horizontal="right"/>
    </xf>
    <xf numFmtId="2" fontId="37" fillId="0" borderId="54" xfId="0" applyNumberFormat="1" applyFont="1" applyBorder="1" applyAlignment="1" quotePrefix="1">
      <alignment horizontal="right"/>
    </xf>
    <xf numFmtId="2" fontId="37" fillId="0" borderId="17" xfId="0" applyNumberFormat="1" applyFont="1" applyBorder="1" applyAlignment="1" quotePrefix="1">
      <alignment horizontal="right"/>
    </xf>
    <xf numFmtId="2" fontId="37" fillId="0" borderId="16" xfId="0" applyNumberFormat="1" applyFont="1" applyBorder="1" applyAlignment="1" quotePrefix="1">
      <alignment horizontal="right"/>
    </xf>
    <xf numFmtId="2" fontId="29" fillId="0" borderId="17" xfId="0" applyNumberFormat="1" applyFont="1" applyBorder="1" applyAlignment="1">
      <alignment/>
    </xf>
    <xf numFmtId="2" fontId="29" fillId="0" borderId="16" xfId="0" applyNumberFormat="1" applyFont="1" applyBorder="1" applyAlignment="1">
      <alignment horizontal="right"/>
    </xf>
    <xf numFmtId="2" fontId="37" fillId="0" borderId="16" xfId="0" applyNumberFormat="1" applyFont="1" applyBorder="1" applyAlignment="1">
      <alignment horizontal="right"/>
    </xf>
    <xf numFmtId="3" fontId="29" fillId="0" borderId="17" xfId="0" applyNumberFormat="1" applyFont="1" applyFill="1" applyBorder="1" applyAlignment="1">
      <alignment/>
    </xf>
    <xf numFmtId="2" fontId="29" fillId="0" borderId="16" xfId="0" applyNumberFormat="1" applyFont="1" applyBorder="1" applyAlignment="1">
      <alignment/>
    </xf>
    <xf numFmtId="2" fontId="37" fillId="0" borderId="16" xfId="0" applyNumberFormat="1" applyFont="1" applyBorder="1" applyAlignment="1">
      <alignment/>
    </xf>
    <xf numFmtId="2" fontId="37" fillId="0" borderId="49" xfId="0" applyNumberFormat="1" applyFont="1" applyBorder="1" applyAlignment="1" quotePrefix="1">
      <alignment horizontal="right"/>
    </xf>
    <xf numFmtId="2" fontId="37" fillId="0" borderId="80" xfId="0" applyNumberFormat="1" applyFont="1" applyBorder="1" applyAlignment="1" quotePrefix="1">
      <alignment horizontal="right"/>
    </xf>
    <xf numFmtId="3" fontId="29" fillId="0" borderId="13" xfId="0" applyNumberFormat="1" applyFont="1" applyBorder="1" applyAlignment="1">
      <alignment/>
    </xf>
    <xf numFmtId="3" fontId="29" fillId="0" borderId="12" xfId="0" applyNumberFormat="1" applyFont="1" applyBorder="1" applyAlignment="1">
      <alignment horizontal="center"/>
    </xf>
    <xf numFmtId="172" fontId="37" fillId="0" borderId="18" xfId="0" applyNumberFormat="1" applyFont="1" applyBorder="1" applyAlignment="1">
      <alignment/>
    </xf>
    <xf numFmtId="177" fontId="37" fillId="0" borderId="13" xfId="0" applyNumberFormat="1" applyFont="1" applyBorder="1" applyAlignment="1" quotePrefix="1">
      <alignment horizontal="right"/>
    </xf>
    <xf numFmtId="2" fontId="37" fillId="0" borderId="19" xfId="0" applyNumberFormat="1" applyFont="1" applyBorder="1" applyAlignment="1" quotePrefix="1">
      <alignment horizontal="right"/>
    </xf>
    <xf numFmtId="1" fontId="29" fillId="0" borderId="17" xfId="0" applyNumberFormat="1" applyFont="1" applyBorder="1" applyAlignment="1">
      <alignment/>
    </xf>
    <xf numFmtId="3" fontId="37" fillId="0" borderId="17" xfId="0" applyNumberFormat="1" applyFont="1" applyFill="1" applyBorder="1" applyAlignment="1" quotePrefix="1">
      <alignment horizontal="right"/>
    </xf>
    <xf numFmtId="3" fontId="37" fillId="0" borderId="0" xfId="0" applyNumberFormat="1" applyFont="1" applyFill="1" applyBorder="1" applyAlignment="1" quotePrefix="1">
      <alignment horizontal="right"/>
    </xf>
    <xf numFmtId="1" fontId="29" fillId="0" borderId="0" xfId="0" applyNumberFormat="1" applyFont="1" applyFill="1" applyBorder="1" applyAlignment="1">
      <alignment/>
    </xf>
    <xf numFmtId="3" fontId="37" fillId="0" borderId="17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" fontId="29" fillId="0" borderId="16" xfId="0" applyNumberFormat="1" applyFont="1" applyBorder="1" applyAlignment="1">
      <alignment/>
    </xf>
    <xf numFmtId="1" fontId="37" fillId="0" borderId="17" xfId="0" applyNumberFormat="1" applyFont="1" applyBorder="1" applyAlignment="1">
      <alignment/>
    </xf>
    <xf numFmtId="1" fontId="37" fillId="0" borderId="0" xfId="0" applyNumberFormat="1" applyFont="1" applyBorder="1" applyAlignment="1">
      <alignment horizontal="right"/>
    </xf>
    <xf numFmtId="1" fontId="37" fillId="0" borderId="16" xfId="0" applyNumberFormat="1" applyFont="1" applyBorder="1" applyAlignment="1">
      <alignment/>
    </xf>
    <xf numFmtId="1" fontId="37" fillId="0" borderId="17" xfId="0" applyNumberFormat="1" applyFont="1" applyBorder="1" applyAlignment="1" quotePrefix="1">
      <alignment horizontal="right"/>
    </xf>
    <xf numFmtId="1" fontId="37" fillId="0" borderId="0" xfId="0" applyNumberFormat="1" applyFont="1" applyBorder="1" applyAlignment="1" quotePrefix="1">
      <alignment horizontal="right"/>
    </xf>
    <xf numFmtId="1" fontId="37" fillId="0" borderId="16" xfId="0" applyNumberFormat="1" applyFont="1" applyBorder="1" applyAlignment="1" quotePrefix="1">
      <alignment horizontal="right"/>
    </xf>
    <xf numFmtId="1" fontId="29" fillId="0" borderId="0" xfId="0" applyNumberFormat="1" applyFont="1" applyBorder="1" applyAlignment="1">
      <alignment horizontal="right"/>
    </xf>
    <xf numFmtId="1" fontId="29" fillId="0" borderId="16" xfId="0" applyNumberFormat="1" applyFont="1" applyFill="1" applyBorder="1" applyAlignment="1" quotePrefix="1">
      <alignment horizontal="right"/>
    </xf>
    <xf numFmtId="0" fontId="39" fillId="0" borderId="0" xfId="0" applyFont="1" applyBorder="1" applyAlignment="1">
      <alignment/>
    </xf>
    <xf numFmtId="3" fontId="29" fillId="0" borderId="49" xfId="0" applyNumberFormat="1" applyFont="1" applyBorder="1" applyAlignment="1" quotePrefix="1">
      <alignment horizontal="right"/>
    </xf>
    <xf numFmtId="3" fontId="29" fillId="0" borderId="36" xfId="0" applyNumberFormat="1" applyFont="1" applyBorder="1" applyAlignment="1" quotePrefix="1">
      <alignment horizontal="right"/>
    </xf>
    <xf numFmtId="3" fontId="29" fillId="0" borderId="80" xfId="0" applyNumberFormat="1" applyFont="1" applyBorder="1" applyAlignment="1" quotePrefix="1">
      <alignment horizontal="right"/>
    </xf>
    <xf numFmtId="0" fontId="10" fillId="0" borderId="0" xfId="0" applyFont="1" applyAlignment="1">
      <alignment/>
    </xf>
    <xf numFmtId="0" fontId="14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10" fillId="0" borderId="17" xfId="0" applyFont="1" applyBorder="1" applyAlignment="1" quotePrefix="1">
      <alignment horizontal="right"/>
    </xf>
    <xf numFmtId="3" fontId="10" fillId="0" borderId="0" xfId="0" applyNumberFormat="1" applyFont="1" applyBorder="1" applyAlignment="1" quotePrefix="1">
      <alignment horizontal="right"/>
    </xf>
    <xf numFmtId="0" fontId="10" fillId="0" borderId="16" xfId="0" applyFont="1" applyBorder="1" applyAlignment="1" quotePrefix="1">
      <alignment horizontal="right"/>
    </xf>
    <xf numFmtId="3" fontId="10" fillId="0" borderId="17" xfId="0" applyNumberFormat="1" applyFont="1" applyBorder="1" applyAlignment="1" quotePrefix="1">
      <alignment horizontal="right"/>
    </xf>
    <xf numFmtId="3" fontId="10" fillId="0" borderId="16" xfId="0" applyNumberFormat="1" applyFont="1" applyBorder="1" applyAlignment="1" quotePrefix="1">
      <alignment horizontal="right"/>
    </xf>
    <xf numFmtId="3" fontId="14" fillId="0" borderId="0" xfId="0" applyNumberFormat="1" applyFont="1" applyBorder="1" applyAlignment="1" quotePrefix="1">
      <alignment horizontal="right"/>
    </xf>
    <xf numFmtId="0" fontId="10" fillId="0" borderId="49" xfId="0" applyFont="1" applyBorder="1" applyAlignment="1" quotePrefix="1">
      <alignment horizontal="right"/>
    </xf>
    <xf numFmtId="3" fontId="10" fillId="0" borderId="36" xfId="0" applyNumberFormat="1" applyFont="1" applyBorder="1" applyAlignment="1" quotePrefix="1">
      <alignment horizontal="right"/>
    </xf>
    <xf numFmtId="0" fontId="10" fillId="0" borderId="80" xfId="0" applyFont="1" applyBorder="1" applyAlignment="1" quotePrefix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36" xfId="0" applyFont="1" applyBorder="1" applyAlignment="1">
      <alignment horizontal="center" vertical="top"/>
    </xf>
    <xf numFmtId="0" fontId="10" fillId="0" borderId="43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4" fillId="0" borderId="39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172" fontId="10" fillId="0" borderId="18" xfId="0" applyNumberFormat="1" applyFont="1" applyBorder="1" applyAlignment="1">
      <alignment/>
    </xf>
    <xf numFmtId="3" fontId="29" fillId="0" borderId="31" xfId="0" applyNumberFormat="1" applyFont="1" applyBorder="1" applyAlignment="1" quotePrefix="1">
      <alignment horizontal="right"/>
    </xf>
    <xf numFmtId="0" fontId="37" fillId="0" borderId="0" xfId="0" applyFont="1" applyBorder="1" applyAlignment="1">
      <alignment horizontal="right"/>
    </xf>
    <xf numFmtId="0" fontId="37" fillId="0" borderId="17" xfId="0" applyFont="1" applyBorder="1" applyAlignment="1">
      <alignment horizontal="right"/>
    </xf>
    <xf numFmtId="0" fontId="29" fillId="0" borderId="17" xfId="0" applyFont="1" applyBorder="1" applyAlignment="1" quotePrefix="1">
      <alignment horizontal="right"/>
    </xf>
    <xf numFmtId="0" fontId="29" fillId="0" borderId="0" xfId="0" applyFont="1" applyBorder="1" applyAlignment="1" quotePrefix="1">
      <alignment horizontal="right"/>
    </xf>
    <xf numFmtId="0" fontId="29" fillId="0" borderId="16" xfId="0" applyFont="1" applyBorder="1" applyAlignment="1" quotePrefix="1">
      <alignment horizontal="right"/>
    </xf>
    <xf numFmtId="0" fontId="29" fillId="0" borderId="0" xfId="0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0" fontId="29" fillId="0" borderId="36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0" fillId="0" borderId="19" xfId="0" applyFont="1" applyBorder="1" applyAlignment="1">
      <alignment/>
    </xf>
    <xf numFmtId="0" fontId="14" fillId="0" borderId="18" xfId="0" applyFont="1" applyBorder="1" applyAlignment="1">
      <alignment/>
    </xf>
    <xf numFmtId="3" fontId="10" fillId="0" borderId="53" xfId="0" applyNumberFormat="1" applyFont="1" applyBorder="1" applyAlignment="1" quotePrefix="1">
      <alignment horizontal="right"/>
    </xf>
    <xf numFmtId="3" fontId="10" fillId="0" borderId="31" xfId="0" applyNumberFormat="1" applyFont="1" applyBorder="1" applyAlignment="1" quotePrefix="1">
      <alignment horizontal="right"/>
    </xf>
    <xf numFmtId="172" fontId="10" fillId="0" borderId="16" xfId="0" applyNumberFormat="1" applyFont="1" applyBorder="1" applyAlignment="1">
      <alignment horizontal="right"/>
    </xf>
    <xf numFmtId="3" fontId="10" fillId="0" borderId="49" xfId="0" applyNumberFormat="1" applyFont="1" applyBorder="1" applyAlignment="1" quotePrefix="1">
      <alignment horizontal="right"/>
    </xf>
    <xf numFmtId="3" fontId="10" fillId="0" borderId="80" xfId="0" applyNumberFormat="1" applyFont="1" applyBorder="1" applyAlignment="1" quotePrefix="1">
      <alignment horizontal="right"/>
    </xf>
    <xf numFmtId="0" fontId="10" fillId="0" borderId="11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 quotePrefix="1">
      <alignment horizontal="right"/>
    </xf>
    <xf numFmtId="3" fontId="10" fillId="0" borderId="18" xfId="0" applyNumberFormat="1" applyFont="1" applyBorder="1" applyAlignment="1" quotePrefix="1">
      <alignment horizontal="right"/>
    </xf>
    <xf numFmtId="3" fontId="10" fillId="0" borderId="19" xfId="0" applyNumberFormat="1" applyFont="1" applyBorder="1" applyAlignment="1" quotePrefix="1">
      <alignment horizontal="right"/>
    </xf>
    <xf numFmtId="0" fontId="20" fillId="0" borderId="60" xfId="0" applyFont="1" applyBorder="1" applyAlignment="1">
      <alignment horizontal="center"/>
    </xf>
    <xf numFmtId="3" fontId="14" fillId="0" borderId="49" xfId="0" applyNumberFormat="1" applyFont="1" applyBorder="1" applyAlignment="1" quotePrefix="1">
      <alignment horizontal="right"/>
    </xf>
    <xf numFmtId="3" fontId="14" fillId="0" borderId="36" xfId="0" applyNumberFormat="1" applyFont="1" applyBorder="1" applyAlignment="1" quotePrefix="1">
      <alignment horizontal="right"/>
    </xf>
    <xf numFmtId="3" fontId="14" fillId="0" borderId="80" xfId="0" applyNumberFormat="1" applyFont="1" applyBorder="1" applyAlignment="1" quotePrefix="1">
      <alignment horizontal="right"/>
    </xf>
    <xf numFmtId="0" fontId="48" fillId="0" borderId="0" xfId="0" applyFont="1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0" fontId="49" fillId="0" borderId="0" xfId="0" applyFont="1" applyAlignment="1">
      <alignment/>
    </xf>
    <xf numFmtId="0" fontId="48" fillId="0" borderId="11" xfId="0" applyFont="1" applyBorder="1" applyAlignment="1">
      <alignment/>
    </xf>
    <xf numFmtId="0" fontId="48" fillId="0" borderId="13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8" xfId="0" applyFont="1" applyBorder="1" applyAlignment="1">
      <alignment/>
    </xf>
    <xf numFmtId="0" fontId="50" fillId="0" borderId="11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4" fontId="49" fillId="0" borderId="14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172" fontId="48" fillId="0" borderId="19" xfId="0" applyNumberFormat="1" applyFont="1" applyBorder="1" applyAlignment="1">
      <alignment/>
    </xf>
    <xf numFmtId="0" fontId="50" fillId="0" borderId="19" xfId="0" applyFont="1" applyBorder="1" applyAlignment="1">
      <alignment horizontal="center"/>
    </xf>
    <xf numFmtId="3" fontId="48" fillId="0" borderId="21" xfId="0" applyNumberFormat="1" applyFont="1" applyBorder="1" applyAlignment="1">
      <alignment/>
    </xf>
    <xf numFmtId="3" fontId="48" fillId="0" borderId="31" xfId="0" applyNumberFormat="1" applyFont="1" applyBorder="1" applyAlignment="1">
      <alignment horizontal="right"/>
    </xf>
    <xf numFmtId="3" fontId="48" fillId="0" borderId="54" xfId="0" applyNumberFormat="1" applyFont="1" applyBorder="1" applyAlignment="1">
      <alignment horizontal="right"/>
    </xf>
    <xf numFmtId="3" fontId="30" fillId="0" borderId="53" xfId="0" applyNumberFormat="1" applyFont="1" applyBorder="1" applyAlignment="1" quotePrefix="1">
      <alignment horizontal="right"/>
    </xf>
    <xf numFmtId="3" fontId="30" fillId="0" borderId="31" xfId="0" applyNumberFormat="1" applyFont="1" applyBorder="1" applyAlignment="1" quotePrefix="1">
      <alignment horizontal="right"/>
    </xf>
    <xf numFmtId="3" fontId="30" fillId="0" borderId="54" xfId="0" applyNumberFormat="1" applyFont="1" applyBorder="1" applyAlignment="1" quotePrefix="1">
      <alignment horizontal="right"/>
    </xf>
    <xf numFmtId="0" fontId="50" fillId="0" borderId="32" xfId="0" applyFont="1" applyBorder="1" applyAlignment="1">
      <alignment/>
    </xf>
    <xf numFmtId="3" fontId="30" fillId="0" borderId="22" xfId="0" applyNumberFormat="1" applyFont="1" applyBorder="1" applyAlignment="1">
      <alignment/>
    </xf>
    <xf numFmtId="3" fontId="30" fillId="0" borderId="17" xfId="0" applyNumberFormat="1" applyFont="1" applyBorder="1" applyAlignment="1" quotePrefix="1">
      <alignment horizontal="right"/>
    </xf>
    <xf numFmtId="3" fontId="30" fillId="0" borderId="0" xfId="0" applyNumberFormat="1" applyFont="1" applyBorder="1" applyAlignment="1" quotePrefix="1">
      <alignment horizontal="right"/>
    </xf>
    <xf numFmtId="3" fontId="30" fillId="0" borderId="16" xfId="0" applyNumberFormat="1" applyFont="1" applyBorder="1" applyAlignment="1" quotePrefix="1">
      <alignment horizontal="right"/>
    </xf>
    <xf numFmtId="0" fontId="49" fillId="0" borderId="39" xfId="0" applyFont="1" applyBorder="1" applyAlignment="1">
      <alignment/>
    </xf>
    <xf numFmtId="3" fontId="30" fillId="0" borderId="0" xfId="0" applyNumberFormat="1" applyFont="1" applyBorder="1" applyAlignment="1">
      <alignment horizontal="right"/>
    </xf>
    <xf numFmtId="3" fontId="30" fillId="0" borderId="16" xfId="0" applyNumberFormat="1" applyFont="1" applyBorder="1" applyAlignment="1">
      <alignment horizontal="right"/>
    </xf>
    <xf numFmtId="3" fontId="48" fillId="0" borderId="22" xfId="0" applyNumberFormat="1" applyFont="1" applyBorder="1" applyAlignment="1">
      <alignment/>
    </xf>
    <xf numFmtId="3" fontId="48" fillId="0" borderId="0" xfId="0" applyNumberFormat="1" applyFont="1" applyBorder="1" applyAlignment="1">
      <alignment horizontal="right"/>
    </xf>
    <xf numFmtId="3" fontId="48" fillId="0" borderId="16" xfId="0" applyNumberFormat="1" applyFont="1" applyBorder="1" applyAlignment="1">
      <alignment horizontal="right"/>
    </xf>
    <xf numFmtId="172" fontId="48" fillId="0" borderId="16" xfId="0" applyNumberFormat="1" applyFont="1" applyBorder="1" applyAlignment="1">
      <alignment horizontal="right"/>
    </xf>
    <xf numFmtId="0" fontId="50" fillId="0" borderId="39" xfId="0" applyFont="1" applyBorder="1" applyAlignment="1">
      <alignment/>
    </xf>
    <xf numFmtId="172" fontId="30" fillId="0" borderId="16" xfId="0" applyNumberFormat="1" applyFont="1" applyBorder="1" applyAlignment="1">
      <alignment horizontal="right"/>
    </xf>
    <xf numFmtId="0" fontId="30" fillId="0" borderId="22" xfId="0" applyFont="1" applyBorder="1" applyAlignment="1">
      <alignment/>
    </xf>
    <xf numFmtId="0" fontId="30" fillId="0" borderId="17" xfId="0" applyFont="1" applyBorder="1" applyAlignment="1">
      <alignment/>
    </xf>
    <xf numFmtId="1" fontId="30" fillId="0" borderId="0" xfId="0" applyNumberFormat="1" applyFont="1" applyBorder="1" applyAlignment="1">
      <alignment/>
    </xf>
    <xf numFmtId="0" fontId="30" fillId="0" borderId="16" xfId="0" applyFont="1" applyBorder="1" applyAlignment="1">
      <alignment/>
    </xf>
    <xf numFmtId="3" fontId="30" fillId="0" borderId="17" xfId="0" applyNumberFormat="1" applyFont="1" applyBorder="1" applyAlignment="1">
      <alignment horizontal="right"/>
    </xf>
    <xf numFmtId="0" fontId="48" fillId="0" borderId="22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39" xfId="0" applyFont="1" applyBorder="1" applyAlignment="1">
      <alignment/>
    </xf>
    <xf numFmtId="3" fontId="48" fillId="0" borderId="0" xfId="0" applyNumberFormat="1" applyFont="1" applyBorder="1" applyAlignment="1" quotePrefix="1">
      <alignment horizontal="right"/>
    </xf>
    <xf numFmtId="0" fontId="30" fillId="0" borderId="23" xfId="0" applyFont="1" applyBorder="1" applyAlignment="1">
      <alignment/>
    </xf>
    <xf numFmtId="3" fontId="30" fillId="0" borderId="36" xfId="0" applyNumberFormat="1" applyFont="1" applyBorder="1" applyAlignment="1">
      <alignment horizontal="right"/>
    </xf>
    <xf numFmtId="3" fontId="30" fillId="0" borderId="80" xfId="0" applyNumberFormat="1" applyFont="1" applyBorder="1" applyAlignment="1">
      <alignment/>
    </xf>
    <xf numFmtId="3" fontId="30" fillId="0" borderId="49" xfId="0" applyNumberFormat="1" applyFont="1" applyBorder="1" applyAlignment="1" quotePrefix="1">
      <alignment horizontal="right"/>
    </xf>
    <xf numFmtId="3" fontId="48" fillId="0" borderId="36" xfId="0" applyNumberFormat="1" applyFont="1" applyBorder="1" applyAlignment="1" quotePrefix="1">
      <alignment horizontal="right"/>
    </xf>
    <xf numFmtId="3" fontId="30" fillId="0" borderId="80" xfId="0" applyNumberFormat="1" applyFont="1" applyBorder="1" applyAlignment="1" quotePrefix="1">
      <alignment horizontal="right"/>
    </xf>
    <xf numFmtId="0" fontId="49" fillId="0" borderId="52" xfId="0" applyFont="1" applyBorder="1" applyAlignment="1">
      <alignment/>
    </xf>
    <xf numFmtId="0" fontId="3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30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30" fillId="0" borderId="14" xfId="0" applyFont="1" applyBorder="1" applyAlignment="1">
      <alignment horizontal="center"/>
    </xf>
    <xf numFmtId="4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4" fontId="48" fillId="0" borderId="54" xfId="0" applyNumberFormat="1" applyFont="1" applyBorder="1" applyAlignment="1">
      <alignment horizontal="right"/>
    </xf>
    <xf numFmtId="3" fontId="48" fillId="0" borderId="17" xfId="0" applyNumberFormat="1" applyFont="1" applyBorder="1" applyAlignment="1" quotePrefix="1">
      <alignment horizontal="right"/>
    </xf>
    <xf numFmtId="3" fontId="48" fillId="0" borderId="16" xfId="0" applyNumberFormat="1" applyFont="1" applyBorder="1" applyAlignment="1" quotePrefix="1">
      <alignment horizontal="right"/>
    </xf>
    <xf numFmtId="4" fontId="30" fillId="0" borderId="16" xfId="0" applyNumberFormat="1" applyFont="1" applyBorder="1" applyAlignment="1" quotePrefix="1">
      <alignment horizontal="right"/>
    </xf>
    <xf numFmtId="4" fontId="48" fillId="0" borderId="16" xfId="0" applyNumberFormat="1" applyFont="1" applyBorder="1" applyAlignment="1">
      <alignment horizontal="right"/>
    </xf>
    <xf numFmtId="4" fontId="30" fillId="0" borderId="16" xfId="0" applyNumberFormat="1" applyFont="1" applyBorder="1" applyAlignment="1">
      <alignment horizontal="right"/>
    </xf>
    <xf numFmtId="3" fontId="48" fillId="0" borderId="49" xfId="0" applyNumberFormat="1" applyFont="1" applyBorder="1" applyAlignment="1" quotePrefix="1">
      <alignment horizontal="right"/>
    </xf>
    <xf numFmtId="3" fontId="48" fillId="0" borderId="80" xfId="0" applyNumberFormat="1" applyFont="1" applyBorder="1" applyAlignment="1" quotePrefix="1">
      <alignment horizontal="right"/>
    </xf>
    <xf numFmtId="4" fontId="29" fillId="0" borderId="0" xfId="42" applyNumberFormat="1" applyFont="1" applyAlignment="1">
      <alignment/>
    </xf>
    <xf numFmtId="0" fontId="37" fillId="0" borderId="11" xfId="0" applyFont="1" applyBorder="1" applyAlignment="1">
      <alignment horizontal="center"/>
    </xf>
    <xf numFmtId="4" fontId="37" fillId="0" borderId="18" xfId="42" applyNumberFormat="1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8" xfId="0" applyFont="1" applyBorder="1" applyAlignment="1">
      <alignment/>
    </xf>
    <xf numFmtId="0" fontId="29" fillId="0" borderId="11" xfId="0" applyFont="1" applyBorder="1" applyAlignment="1">
      <alignment horizontal="center"/>
    </xf>
    <xf numFmtId="4" fontId="29" fillId="0" borderId="11" xfId="42" applyNumberFormat="1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" fontId="29" fillId="0" borderId="14" xfId="42" applyNumberFormat="1" applyFont="1" applyBorder="1" applyAlignment="1">
      <alignment horizontal="center"/>
    </xf>
    <xf numFmtId="4" fontId="39" fillId="0" borderId="14" xfId="42" applyNumberFormat="1" applyFont="1" applyBorder="1" applyAlignment="1">
      <alignment horizontal="center"/>
    </xf>
    <xf numFmtId="4" fontId="37" fillId="0" borderId="18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4" fontId="37" fillId="0" borderId="16" xfId="0" applyNumberFormat="1" applyFont="1" applyBorder="1" applyAlignment="1">
      <alignment horizontal="right"/>
    </xf>
    <xf numFmtId="4" fontId="29" fillId="0" borderId="16" xfId="0" applyNumberFormat="1" applyFont="1" applyBorder="1" applyAlignment="1" quotePrefix="1">
      <alignment horizontal="right"/>
    </xf>
    <xf numFmtId="172" fontId="37" fillId="0" borderId="16" xfId="0" applyNumberFormat="1" applyFont="1" applyBorder="1" applyAlignment="1">
      <alignment horizontal="right"/>
    </xf>
    <xf numFmtId="172" fontId="29" fillId="0" borderId="16" xfId="0" applyNumberFormat="1" applyFont="1" applyBorder="1" applyAlignment="1">
      <alignment horizontal="right"/>
    </xf>
    <xf numFmtId="172" fontId="29" fillId="0" borderId="80" xfId="0" applyNumberFormat="1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2" fontId="37" fillId="0" borderId="18" xfId="0" applyNumberFormat="1" applyFont="1" applyBorder="1" applyAlignment="1">
      <alignment horizontal="right"/>
    </xf>
    <xf numFmtId="3" fontId="37" fillId="0" borderId="53" xfId="0" applyNumberFormat="1" applyFont="1" applyFill="1" applyBorder="1" applyAlignment="1">
      <alignment/>
    </xf>
    <xf numFmtId="2" fontId="37" fillId="0" borderId="31" xfId="0" applyNumberFormat="1" applyFont="1" applyBorder="1" applyAlignment="1">
      <alignment horizontal="right"/>
    </xf>
    <xf numFmtId="2" fontId="37" fillId="0" borderId="0" xfId="0" applyNumberFormat="1" applyFont="1" applyBorder="1" applyAlignment="1">
      <alignment horizontal="right"/>
    </xf>
    <xf numFmtId="177" fontId="29" fillId="0" borderId="0" xfId="0" applyNumberFormat="1" applyFont="1" applyBorder="1" applyAlignment="1" quotePrefix="1">
      <alignment horizontal="right"/>
    </xf>
    <xf numFmtId="2" fontId="29" fillId="0" borderId="0" xfId="0" applyNumberFormat="1" applyFont="1" applyBorder="1" applyAlignment="1">
      <alignment/>
    </xf>
    <xf numFmtId="3" fontId="29" fillId="0" borderId="17" xfId="0" applyNumberFormat="1" applyFont="1" applyFill="1" applyBorder="1" applyAlignment="1">
      <alignment horizontal="right"/>
    </xf>
    <xf numFmtId="3" fontId="29" fillId="0" borderId="49" xfId="0" applyNumberFormat="1" applyFont="1" applyFill="1" applyBorder="1" applyAlignment="1">
      <alignment/>
    </xf>
    <xf numFmtId="3" fontId="48" fillId="0" borderId="53" xfId="0" applyNumberFormat="1" applyFont="1" applyBorder="1" applyAlignment="1" quotePrefix="1">
      <alignment horizontal="right"/>
    </xf>
    <xf numFmtId="3" fontId="48" fillId="0" borderId="31" xfId="0" applyNumberFormat="1" applyFont="1" applyBorder="1" applyAlignment="1" quotePrefix="1">
      <alignment horizontal="right"/>
    </xf>
    <xf numFmtId="2" fontId="30" fillId="0" borderId="0" xfId="0" applyNumberFormat="1" applyFont="1" applyBorder="1" applyAlignment="1">
      <alignment horizontal="right"/>
    </xf>
    <xf numFmtId="3" fontId="30" fillId="0" borderId="36" xfId="0" applyNumberFormat="1" applyFont="1" applyBorder="1" applyAlignment="1" quotePrefix="1">
      <alignment horizontal="right"/>
    </xf>
    <xf numFmtId="4" fontId="30" fillId="0" borderId="19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18" xfId="0" applyFont="1" applyBorder="1" applyAlignment="1">
      <alignment/>
    </xf>
    <xf numFmtId="3" fontId="49" fillId="0" borderId="11" xfId="0" applyNumberFormat="1" applyFont="1" applyBorder="1" applyAlignment="1">
      <alignment horizontal="center"/>
    </xf>
    <xf numFmtId="3" fontId="30" fillId="0" borderId="12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3" fontId="25" fillId="0" borderId="18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64" fillId="0" borderId="53" xfId="0" applyNumberFormat="1" applyFont="1" applyBorder="1" applyAlignment="1" quotePrefix="1">
      <alignment horizontal="right"/>
    </xf>
    <xf numFmtId="3" fontId="64" fillId="0" borderId="31" xfId="0" applyNumberFormat="1" applyFont="1" applyBorder="1" applyAlignment="1" quotePrefix="1">
      <alignment horizontal="right"/>
    </xf>
    <xf numFmtId="3" fontId="64" fillId="0" borderId="54" xfId="0" applyNumberFormat="1" applyFont="1" applyBorder="1" applyAlignment="1" quotePrefix="1">
      <alignment horizontal="right"/>
    </xf>
    <xf numFmtId="3" fontId="64" fillId="0" borderId="17" xfId="0" applyNumberFormat="1" applyFont="1" applyBorder="1" applyAlignment="1" quotePrefix="1">
      <alignment horizontal="right"/>
    </xf>
    <xf numFmtId="3" fontId="64" fillId="0" borderId="0" xfId="0" applyNumberFormat="1" applyFont="1" applyBorder="1" applyAlignment="1" quotePrefix="1">
      <alignment horizontal="right"/>
    </xf>
    <xf numFmtId="3" fontId="26" fillId="0" borderId="17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26" fillId="0" borderId="16" xfId="0" applyNumberFormat="1" applyFont="1" applyBorder="1" applyAlignment="1">
      <alignment horizontal="right"/>
    </xf>
    <xf numFmtId="3" fontId="25" fillId="0" borderId="17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16" xfId="0" applyNumberFormat="1" applyFont="1" applyBorder="1" applyAlignment="1">
      <alignment horizontal="right"/>
    </xf>
    <xf numFmtId="0" fontId="26" fillId="0" borderId="17" xfId="0" applyFont="1" applyBorder="1" applyAlignment="1">
      <alignment/>
    </xf>
    <xf numFmtId="1" fontId="26" fillId="0" borderId="0" xfId="0" applyNumberFormat="1" applyFont="1" applyBorder="1" applyAlignment="1">
      <alignment/>
    </xf>
    <xf numFmtId="0" fontId="26" fillId="0" borderId="16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25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16" xfId="0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5" fillId="0" borderId="16" xfId="0" applyNumberFormat="1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3" fontId="64" fillId="0" borderId="49" xfId="0" applyNumberFormat="1" applyFont="1" applyBorder="1" applyAlignment="1" quotePrefix="1">
      <alignment horizontal="right"/>
    </xf>
    <xf numFmtId="3" fontId="64" fillId="0" borderId="36" xfId="0" applyNumberFormat="1" applyFont="1" applyBorder="1" applyAlignment="1" quotePrefix="1">
      <alignment horizontal="right"/>
    </xf>
    <xf numFmtId="3" fontId="64" fillId="0" borderId="80" xfId="0" applyNumberFormat="1" applyFont="1" applyBorder="1" applyAlignment="1" quotePrefix="1">
      <alignment horizontal="right"/>
    </xf>
    <xf numFmtId="3" fontId="26" fillId="0" borderId="49" xfId="0" applyNumberFormat="1" applyFont="1" applyBorder="1" applyAlignment="1">
      <alignment/>
    </xf>
    <xf numFmtId="3" fontId="26" fillId="0" borderId="36" xfId="0" applyNumberFormat="1" applyFont="1" applyBorder="1" applyAlignment="1">
      <alignment horizontal="right"/>
    </xf>
    <xf numFmtId="3" fontId="26" fillId="0" borderId="80" xfId="0" applyNumberFormat="1" applyFont="1" applyBorder="1" applyAlignment="1">
      <alignment/>
    </xf>
    <xf numFmtId="3" fontId="37" fillId="0" borderId="12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/>
    </xf>
    <xf numFmtId="3" fontId="29" fillId="0" borderId="98" xfId="0" applyNumberFormat="1" applyFont="1" applyBorder="1" applyAlignment="1">
      <alignment/>
    </xf>
    <xf numFmtId="3" fontId="29" fillId="0" borderId="45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29" fillId="0" borderId="64" xfId="0" applyNumberFormat="1" applyFont="1" applyBorder="1" applyAlignment="1" quotePrefix="1">
      <alignment horizontal="right"/>
    </xf>
    <xf numFmtId="3" fontId="29" fillId="0" borderId="47" xfId="0" applyNumberFormat="1" applyFont="1" applyBorder="1" applyAlignment="1">
      <alignment horizontal="right"/>
    </xf>
    <xf numFmtId="3" fontId="29" fillId="0" borderId="47" xfId="0" applyNumberFormat="1" applyFont="1" applyBorder="1" applyAlignment="1" quotePrefix="1">
      <alignment horizontal="right"/>
    </xf>
    <xf numFmtId="3" fontId="29" fillId="0" borderId="12" xfId="0" applyNumberFormat="1" applyFont="1" applyBorder="1" applyAlignment="1">
      <alignment/>
    </xf>
    <xf numFmtId="3" fontId="29" fillId="0" borderId="51" xfId="0" applyNumberFormat="1" applyFont="1" applyBorder="1" applyAlignment="1">
      <alignment horizontal="right"/>
    </xf>
    <xf numFmtId="3" fontId="29" fillId="0" borderId="59" xfId="0" applyNumberFormat="1" applyFont="1" applyBorder="1" applyAlignment="1" quotePrefix="1">
      <alignment horizontal="right"/>
    </xf>
    <xf numFmtId="3" fontId="29" fillId="0" borderId="47" xfId="0" applyNumberFormat="1" applyFont="1" applyBorder="1" applyAlignment="1">
      <alignment/>
    </xf>
    <xf numFmtId="3" fontId="29" fillId="0" borderId="51" xfId="0" applyNumberFormat="1" applyFont="1" applyBorder="1" applyAlignment="1">
      <alignment/>
    </xf>
    <xf numFmtId="3" fontId="29" fillId="0" borderId="98" xfId="0" applyNumberFormat="1" applyFont="1" applyBorder="1" applyAlignment="1">
      <alignment horizontal="right"/>
    </xf>
    <xf numFmtId="3" fontId="29" fillId="0" borderId="45" xfId="0" applyNumberFormat="1" applyFont="1" applyBorder="1" applyAlignment="1">
      <alignment horizontal="right"/>
    </xf>
    <xf numFmtId="3" fontId="37" fillId="0" borderId="98" xfId="0" applyNumberFormat="1" applyFont="1" applyBorder="1" applyAlignment="1">
      <alignment/>
    </xf>
    <xf numFmtId="3" fontId="37" fillId="0" borderId="45" xfId="0" applyNumberFormat="1" applyFont="1" applyBorder="1" applyAlignment="1">
      <alignment/>
    </xf>
    <xf numFmtId="3" fontId="37" fillId="0" borderId="99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3" fontId="37" fillId="0" borderId="64" xfId="0" applyNumberFormat="1" applyFont="1" applyBorder="1" applyAlignment="1" quotePrefix="1">
      <alignment horizontal="right"/>
    </xf>
    <xf numFmtId="3" fontId="37" fillId="0" borderId="47" xfId="0" applyNumberFormat="1" applyFont="1" applyBorder="1" applyAlignment="1">
      <alignment horizontal="right"/>
    </xf>
    <xf numFmtId="3" fontId="37" fillId="0" borderId="65" xfId="0" applyNumberFormat="1" applyFont="1" applyBorder="1" applyAlignment="1">
      <alignment horizontal="right"/>
    </xf>
    <xf numFmtId="3" fontId="37" fillId="0" borderId="47" xfId="0" applyNumberFormat="1" applyFont="1" applyBorder="1" applyAlignment="1" quotePrefix="1">
      <alignment horizontal="right"/>
    </xf>
    <xf numFmtId="3" fontId="37" fillId="0" borderId="12" xfId="0" applyNumberFormat="1" applyFont="1" applyBorder="1" applyAlignment="1">
      <alignment/>
    </xf>
    <xf numFmtId="3" fontId="37" fillId="0" borderId="59" xfId="0" applyNumberFormat="1" applyFont="1" applyBorder="1" applyAlignment="1" quotePrefix="1">
      <alignment horizontal="right"/>
    </xf>
    <xf numFmtId="3" fontId="37" fillId="0" borderId="51" xfId="0" applyNumberFormat="1" applyFont="1" applyBorder="1" applyAlignment="1">
      <alignment horizontal="right"/>
    </xf>
    <xf numFmtId="3" fontId="37" fillId="0" borderId="88" xfId="0" applyNumberFormat="1" applyFont="1" applyBorder="1" applyAlignment="1">
      <alignment horizontal="right"/>
    </xf>
    <xf numFmtId="0" fontId="37" fillId="0" borderId="12" xfId="0" applyFont="1" applyBorder="1" applyAlignment="1">
      <alignment horizontal="center"/>
    </xf>
    <xf numFmtId="0" fontId="29" fillId="0" borderId="64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29" fillId="0" borderId="58" xfId="0" applyFont="1" applyBorder="1" applyAlignment="1">
      <alignment/>
    </xf>
    <xf numFmtId="3" fontId="29" fillId="0" borderId="24" xfId="0" applyNumberFormat="1" applyFont="1" applyBorder="1" applyAlignment="1">
      <alignment horizontal="right"/>
    </xf>
    <xf numFmtId="3" fontId="37" fillId="0" borderId="41" xfId="0" applyNumberFormat="1" applyFont="1" applyBorder="1" applyAlignment="1">
      <alignment/>
    </xf>
    <xf numFmtId="3" fontId="37" fillId="0" borderId="24" xfId="0" applyNumberFormat="1" applyFont="1" applyBorder="1" applyAlignment="1">
      <alignment horizontal="right"/>
    </xf>
    <xf numFmtId="3" fontId="37" fillId="0" borderId="15" xfId="0" applyNumberFormat="1" applyFont="1" applyBorder="1" applyAlignment="1">
      <alignment horizontal="center"/>
    </xf>
    <xf numFmtId="3" fontId="37" fillId="0" borderId="43" xfId="0" applyNumberFormat="1" applyFont="1" applyBorder="1" applyAlignment="1">
      <alignment horizontal="center"/>
    </xf>
    <xf numFmtId="3" fontId="29" fillId="0" borderId="18" xfId="0" applyNumberFormat="1" applyFont="1" applyBorder="1" applyAlignment="1" quotePrefix="1">
      <alignment horizontal="right"/>
    </xf>
    <xf numFmtId="3" fontId="66" fillId="0" borderId="0" xfId="0" applyNumberFormat="1" applyFont="1" applyAlignment="1">
      <alignment/>
    </xf>
    <xf numFmtId="0" fontId="68" fillId="0" borderId="0" xfId="0" applyFont="1" applyAlignment="1">
      <alignment/>
    </xf>
    <xf numFmtId="0" fontId="65" fillId="0" borderId="11" xfId="0" applyFont="1" applyBorder="1" applyAlignment="1">
      <alignment horizontal="center"/>
    </xf>
    <xf numFmtId="3" fontId="65" fillId="0" borderId="15" xfId="0" applyNumberFormat="1" applyFont="1" applyBorder="1" applyAlignment="1">
      <alignment horizontal="center"/>
    </xf>
    <xf numFmtId="3" fontId="65" fillId="0" borderId="11" xfId="0" applyNumberFormat="1" applyFont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3" fontId="65" fillId="0" borderId="14" xfId="0" applyNumberFormat="1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3" fontId="67" fillId="0" borderId="14" xfId="0" applyNumberFormat="1" applyFont="1" applyBorder="1" applyAlignment="1">
      <alignment horizontal="center"/>
    </xf>
    <xf numFmtId="0" fontId="65" fillId="0" borderId="60" xfId="0" applyFont="1" applyBorder="1" applyAlignment="1">
      <alignment horizontal="center"/>
    </xf>
    <xf numFmtId="3" fontId="65" fillId="0" borderId="60" xfId="0" applyNumberFormat="1" applyFont="1" applyBorder="1" applyAlignment="1">
      <alignment horizontal="right"/>
    </xf>
    <xf numFmtId="3" fontId="65" fillId="0" borderId="20" xfId="0" applyNumberFormat="1" applyFont="1" applyBorder="1" applyAlignment="1">
      <alignment horizontal="right"/>
    </xf>
    <xf numFmtId="0" fontId="67" fillId="0" borderId="60" xfId="0" applyFont="1" applyBorder="1" applyAlignment="1">
      <alignment horizontal="center"/>
    </xf>
    <xf numFmtId="3" fontId="65" fillId="0" borderId="15" xfId="0" applyNumberFormat="1" applyFont="1" applyBorder="1" applyAlignment="1">
      <alignment horizontal="right"/>
    </xf>
    <xf numFmtId="3" fontId="65" fillId="0" borderId="11" xfId="0" applyNumberFormat="1" applyFont="1" applyBorder="1" applyAlignment="1" quotePrefix="1">
      <alignment horizontal="right"/>
    </xf>
    <xf numFmtId="0" fontId="67" fillId="0" borderId="32" xfId="0" applyFont="1" applyBorder="1" applyAlignment="1">
      <alignment/>
    </xf>
    <xf numFmtId="3" fontId="65" fillId="0" borderId="33" xfId="0" applyNumberFormat="1" applyFont="1" applyBorder="1" applyAlignment="1" quotePrefix="1">
      <alignment horizontal="right"/>
    </xf>
    <xf numFmtId="3" fontId="66" fillId="0" borderId="14" xfId="0" applyNumberFormat="1" applyFont="1" applyBorder="1" applyAlignment="1" quotePrefix="1">
      <alignment horizontal="right"/>
    </xf>
    <xf numFmtId="0" fontId="68" fillId="0" borderId="39" xfId="0" applyFont="1" applyBorder="1" applyAlignment="1">
      <alignment/>
    </xf>
    <xf numFmtId="3" fontId="65" fillId="0" borderId="33" xfId="0" applyNumberFormat="1" applyFont="1" applyBorder="1" applyAlignment="1">
      <alignment horizontal="right"/>
    </xf>
    <xf numFmtId="3" fontId="65" fillId="0" borderId="33" xfId="0" applyNumberFormat="1" applyFont="1" applyBorder="1" applyAlignment="1">
      <alignment/>
    </xf>
    <xf numFmtId="3" fontId="65" fillId="0" borderId="14" xfId="0" applyNumberFormat="1" applyFont="1" applyBorder="1" applyAlignment="1">
      <alignment horizontal="right"/>
    </xf>
    <xf numFmtId="0" fontId="67" fillId="0" borderId="39" xfId="0" applyFont="1" applyBorder="1" applyAlignment="1">
      <alignment/>
    </xf>
    <xf numFmtId="3" fontId="65" fillId="0" borderId="14" xfId="0" applyNumberFormat="1" applyFont="1" applyBorder="1" applyAlignment="1" quotePrefix="1">
      <alignment horizontal="right"/>
    </xf>
    <xf numFmtId="0" fontId="66" fillId="0" borderId="33" xfId="0" applyFont="1" applyBorder="1" applyAlignment="1">
      <alignment/>
    </xf>
    <xf numFmtId="0" fontId="65" fillId="0" borderId="33" xfId="0" applyFont="1" applyBorder="1" applyAlignment="1">
      <alignment/>
    </xf>
    <xf numFmtId="0" fontId="65" fillId="0" borderId="39" xfId="0" applyFont="1" applyBorder="1" applyAlignment="1">
      <alignment/>
    </xf>
    <xf numFmtId="3" fontId="65" fillId="0" borderId="14" xfId="0" applyNumberFormat="1" applyFont="1" applyBorder="1" applyAlignment="1">
      <alignment/>
    </xf>
    <xf numFmtId="0" fontId="66" fillId="0" borderId="43" xfId="0" applyFont="1" applyBorder="1" applyAlignment="1">
      <alignment/>
    </xf>
    <xf numFmtId="3" fontId="65" fillId="0" borderId="43" xfId="0" applyNumberFormat="1" applyFont="1" applyBorder="1" applyAlignment="1">
      <alignment/>
    </xf>
    <xf numFmtId="0" fontId="68" fillId="0" borderId="52" xfId="0" applyFont="1" applyBorder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7" fillId="0" borderId="11" xfId="0" applyNumberFormat="1" applyFont="1" applyBorder="1" applyAlignment="1">
      <alignment/>
    </xf>
    <xf numFmtId="3" fontId="28" fillId="0" borderId="14" xfId="0" applyNumberFormat="1" applyFont="1" applyBorder="1" applyAlignment="1">
      <alignment horizontal="center"/>
    </xf>
    <xf numFmtId="3" fontId="27" fillId="0" borderId="14" xfId="0" applyNumberFormat="1" applyFont="1" applyBorder="1" applyAlignment="1">
      <alignment horizontal="center"/>
    </xf>
    <xf numFmtId="3" fontId="26" fillId="0" borderId="39" xfId="0" applyNumberFormat="1" applyFont="1" applyBorder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3" fontId="25" fillId="0" borderId="31" xfId="0" applyNumberFormat="1" applyFont="1" applyBorder="1" applyAlignment="1">
      <alignment horizontal="right"/>
    </xf>
    <xf numFmtId="0" fontId="28" fillId="0" borderId="32" xfId="0" applyFont="1" applyBorder="1" applyAlignment="1">
      <alignment/>
    </xf>
    <xf numFmtId="0" fontId="27" fillId="0" borderId="39" xfId="0" applyFont="1" applyBorder="1" applyAlignment="1">
      <alignment/>
    </xf>
    <xf numFmtId="3" fontId="26" fillId="0" borderId="17" xfId="0" applyNumberFormat="1" applyFont="1" applyBorder="1" applyAlignment="1">
      <alignment/>
    </xf>
    <xf numFmtId="0" fontId="25" fillId="0" borderId="39" xfId="0" applyFont="1" applyBorder="1" applyAlignment="1">
      <alignment/>
    </xf>
    <xf numFmtId="0" fontId="27" fillId="0" borderId="52" xfId="0" applyFont="1" applyBorder="1" applyAlignment="1">
      <alignment/>
    </xf>
    <xf numFmtId="3" fontId="26" fillId="0" borderId="0" xfId="0" applyNumberFormat="1" applyFont="1" applyAlignment="1">
      <alignment horizontal="right"/>
    </xf>
    <xf numFmtId="2" fontId="50" fillId="0" borderId="0" xfId="0" applyNumberFormat="1" applyFont="1" applyAlignment="1">
      <alignment/>
    </xf>
    <xf numFmtId="3" fontId="30" fillId="0" borderId="15" xfId="0" applyNumberFormat="1" applyFont="1" applyBorder="1" applyAlignment="1">
      <alignment horizontal="center"/>
    </xf>
    <xf numFmtId="3" fontId="30" fillId="0" borderId="33" xfId="0" applyNumberFormat="1" applyFont="1" applyBorder="1" applyAlignment="1">
      <alignment horizontal="center"/>
    </xf>
    <xf numFmtId="3" fontId="48" fillId="0" borderId="19" xfId="0" applyNumberFormat="1" applyFont="1" applyBorder="1" applyAlignment="1" quotePrefix="1">
      <alignment horizontal="right"/>
    </xf>
    <xf numFmtId="0" fontId="50" fillId="0" borderId="60" xfId="0" applyFont="1" applyBorder="1" applyAlignment="1">
      <alignment horizontal="center"/>
    </xf>
    <xf numFmtId="3" fontId="30" fillId="0" borderId="0" xfId="0" applyNumberFormat="1" applyFont="1" applyAlignment="1">
      <alignment horizontal="right"/>
    </xf>
    <xf numFmtId="2" fontId="30" fillId="0" borderId="0" xfId="0" applyNumberFormat="1" applyFont="1" applyAlignment="1">
      <alignment horizontal="right"/>
    </xf>
    <xf numFmtId="0" fontId="48" fillId="0" borderId="15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48" fillId="0" borderId="60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20" fillId="0" borderId="14" xfId="0" applyNumberFormat="1" applyFont="1" applyBorder="1" applyAlignment="1">
      <alignment horizontal="center"/>
    </xf>
    <xf numFmtId="3" fontId="14" fillId="0" borderId="52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1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/>
    </xf>
    <xf numFmtId="0" fontId="19" fillId="0" borderId="39" xfId="0" applyFont="1" applyBorder="1" applyAlignment="1">
      <alignment/>
    </xf>
    <xf numFmtId="0" fontId="20" fillId="0" borderId="39" xfId="0" applyFont="1" applyBorder="1" applyAlignment="1">
      <alignment/>
    </xf>
    <xf numFmtId="3" fontId="29" fillId="0" borderId="36" xfId="0" applyNumberFormat="1" applyFont="1" applyBorder="1" applyAlignment="1">
      <alignment/>
    </xf>
    <xf numFmtId="0" fontId="11" fillId="0" borderId="0" xfId="0" applyFont="1" applyAlignment="1">
      <alignment wrapText="1"/>
    </xf>
    <xf numFmtId="3" fontId="49" fillId="0" borderId="14" xfId="0" applyNumberFormat="1" applyFont="1" applyBorder="1" applyAlignment="1">
      <alignment/>
    </xf>
    <xf numFmtId="0" fontId="28" fillId="0" borderId="48" xfId="0" applyFont="1" applyBorder="1" applyAlignment="1">
      <alignment/>
    </xf>
    <xf numFmtId="0" fontId="27" fillId="0" borderId="48" xfId="0" applyFont="1" applyBorder="1" applyAlignment="1">
      <alignment/>
    </xf>
    <xf numFmtId="3" fontId="48" fillId="0" borderId="36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172" fontId="12" fillId="0" borderId="0" xfId="0" applyNumberFormat="1" applyFont="1" applyBorder="1" applyAlignment="1">
      <alignment horizontal="right"/>
    </xf>
    <xf numFmtId="0" fontId="14" fillId="0" borderId="100" xfId="0" applyFont="1" applyBorder="1" applyAlignment="1">
      <alignment horizontal="right"/>
    </xf>
    <xf numFmtId="0" fontId="14" fillId="0" borderId="101" xfId="0" applyFont="1" applyBorder="1" applyAlignment="1">
      <alignment horizontal="right"/>
    </xf>
    <xf numFmtId="0" fontId="14" fillId="0" borderId="102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14" fillId="0" borderId="103" xfId="0" applyFont="1" applyBorder="1" applyAlignment="1">
      <alignment horizontal="right"/>
    </xf>
    <xf numFmtId="0" fontId="10" fillId="0" borderId="39" xfId="0" applyFont="1" applyBorder="1" applyAlignment="1">
      <alignment horizontal="right"/>
    </xf>
    <xf numFmtId="0" fontId="14" fillId="0" borderId="82" xfId="0" applyFont="1" applyBorder="1" applyAlignment="1">
      <alignment horizontal="right"/>
    </xf>
    <xf numFmtId="0" fontId="10" fillId="0" borderId="52" xfId="0" applyFont="1" applyBorder="1" applyAlignment="1">
      <alignment horizontal="right"/>
    </xf>
    <xf numFmtId="3" fontId="34" fillId="0" borderId="103" xfId="0" applyNumberFormat="1" applyFont="1" applyBorder="1" applyAlignment="1" quotePrefix="1">
      <alignment horizontal="right"/>
    </xf>
    <xf numFmtId="3" fontId="34" fillId="0" borderId="103" xfId="0" applyNumberFormat="1" applyFont="1" applyBorder="1" applyAlignment="1">
      <alignment horizontal="right"/>
    </xf>
    <xf numFmtId="3" fontId="35" fillId="0" borderId="103" xfId="0" applyNumberFormat="1" applyFont="1" applyBorder="1" applyAlignment="1">
      <alignment horizontal="right"/>
    </xf>
    <xf numFmtId="0" fontId="43" fillId="0" borderId="15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4" fillId="0" borderId="64" xfId="0" applyFont="1" applyBorder="1" applyAlignment="1">
      <alignment horizontal="left"/>
    </xf>
    <xf numFmtId="3" fontId="36" fillId="0" borderId="47" xfId="44" applyNumberFormat="1" applyFont="1" applyBorder="1" applyAlignment="1" quotePrefix="1">
      <alignment horizontal="right"/>
    </xf>
    <xf numFmtId="0" fontId="44" fillId="0" borderId="43" xfId="0" applyFont="1" applyBorder="1" applyAlignment="1">
      <alignment horizontal="left"/>
    </xf>
    <xf numFmtId="3" fontId="36" fillId="0" borderId="51" xfId="44" applyNumberFormat="1" applyFont="1" applyBorder="1" applyAlignment="1" quotePrefix="1">
      <alignment horizontal="right"/>
    </xf>
    <xf numFmtId="3" fontId="36" fillId="0" borderId="88" xfId="44" applyNumberFormat="1" applyFont="1" applyBorder="1" applyAlignment="1">
      <alignment horizontal="right"/>
    </xf>
    <xf numFmtId="0" fontId="43" fillId="0" borderId="15" xfId="0" applyFont="1" applyBorder="1" applyAlignment="1">
      <alignment horizontal="left"/>
    </xf>
    <xf numFmtId="3" fontId="36" fillId="0" borderId="39" xfId="44" applyNumberFormat="1" applyFont="1" applyBorder="1" applyAlignment="1">
      <alignment horizontal="right"/>
    </xf>
    <xf numFmtId="3" fontId="43" fillId="0" borderId="31" xfId="0" applyNumberFormat="1" applyFont="1" applyBorder="1" applyAlignment="1">
      <alignment horizontal="right"/>
    </xf>
    <xf numFmtId="0" fontId="44" fillId="0" borderId="55" xfId="0" applyFont="1" applyFill="1" applyBorder="1" applyAlignment="1">
      <alignment/>
    </xf>
    <xf numFmtId="3" fontId="36" fillId="0" borderId="10" xfId="44" applyNumberFormat="1" applyFont="1" applyFill="1" applyBorder="1" applyAlignment="1" quotePrefix="1">
      <alignment horizontal="right"/>
    </xf>
    <xf numFmtId="3" fontId="36" fillId="0" borderId="10" xfId="0" applyNumberFormat="1" applyFont="1" applyFill="1" applyBorder="1" applyAlignment="1">
      <alignment horizontal="right"/>
    </xf>
    <xf numFmtId="3" fontId="43" fillId="0" borderId="40" xfId="0" applyNumberFormat="1" applyFont="1" applyFill="1" applyBorder="1" applyAlignment="1">
      <alignment horizontal="right"/>
    </xf>
    <xf numFmtId="3" fontId="36" fillId="0" borderId="10" xfId="42" applyNumberFormat="1" applyFont="1" applyBorder="1" applyAlignment="1">
      <alignment horizontal="right"/>
    </xf>
    <xf numFmtId="0" fontId="36" fillId="0" borderId="43" xfId="0" applyFont="1" applyBorder="1" applyAlignment="1">
      <alignment/>
    </xf>
    <xf numFmtId="3" fontId="36" fillId="0" borderId="36" xfId="44" applyNumberFormat="1" applyFont="1" applyFill="1" applyBorder="1" applyAlignment="1" quotePrefix="1">
      <alignment horizontal="right"/>
    </xf>
    <xf numFmtId="3" fontId="43" fillId="0" borderId="40" xfId="0" applyNumberFormat="1" applyFont="1" applyBorder="1" applyAlignment="1" quotePrefix="1">
      <alignment horizontal="right"/>
    </xf>
    <xf numFmtId="3" fontId="36" fillId="0" borderId="51" xfId="0" applyNumberFormat="1" applyFont="1" applyBorder="1" applyAlignment="1" quotePrefix="1">
      <alignment horizontal="right"/>
    </xf>
    <xf numFmtId="3" fontId="36" fillId="0" borderId="31" xfId="42" applyNumberFormat="1" applyFont="1" applyBorder="1" applyAlignment="1">
      <alignment horizontal="right"/>
    </xf>
    <xf numFmtId="3" fontId="43" fillId="0" borderId="32" xfId="42" applyNumberFormat="1" applyFont="1" applyBorder="1" applyAlignment="1">
      <alignment horizontal="right"/>
    </xf>
    <xf numFmtId="3" fontId="36" fillId="0" borderId="40" xfId="42" applyNumberFormat="1" applyFont="1" applyBorder="1" applyAlignment="1">
      <alignment horizontal="right"/>
    </xf>
    <xf numFmtId="3" fontId="43" fillId="0" borderId="52" xfId="42" applyNumberFormat="1" applyFont="1" applyBorder="1" applyAlignment="1">
      <alignment horizontal="right"/>
    </xf>
    <xf numFmtId="3" fontId="36" fillId="0" borderId="36" xfId="42" applyNumberFormat="1" applyFont="1" applyBorder="1" applyAlignment="1" quotePrefix="1">
      <alignment horizontal="right"/>
    </xf>
    <xf numFmtId="0" fontId="41" fillId="0" borderId="55" xfId="0" applyFont="1" applyBorder="1" applyAlignment="1">
      <alignment horizontal="left"/>
    </xf>
    <xf numFmtId="0" fontId="41" fillId="0" borderId="55" xfId="0" applyFont="1" applyBorder="1" applyAlignment="1">
      <alignment/>
    </xf>
    <xf numFmtId="0" fontId="34" fillId="0" borderId="55" xfId="0" applyFont="1" applyBorder="1" applyAlignment="1">
      <alignment/>
    </xf>
    <xf numFmtId="3" fontId="35" fillId="0" borderId="40" xfId="42" applyNumberFormat="1" applyFont="1" applyBorder="1" applyAlignment="1">
      <alignment horizontal="right"/>
    </xf>
    <xf numFmtId="3" fontId="34" fillId="0" borderId="10" xfId="42" applyNumberFormat="1" applyFont="1" applyBorder="1" applyAlignment="1" quotePrefix="1">
      <alignment horizontal="right"/>
    </xf>
    <xf numFmtId="3" fontId="35" fillId="0" borderId="41" xfId="42" applyNumberFormat="1" applyFont="1" applyBorder="1" applyAlignment="1">
      <alignment horizontal="right"/>
    </xf>
    <xf numFmtId="3" fontId="34" fillId="0" borderId="10" xfId="44" applyNumberFormat="1" applyFont="1" applyFill="1" applyBorder="1" applyAlignment="1">
      <alignment horizontal="right"/>
    </xf>
    <xf numFmtId="3" fontId="34" fillId="0" borderId="10" xfId="42" applyNumberFormat="1" applyFont="1" applyFill="1" applyBorder="1" applyAlignment="1">
      <alignment horizontal="right"/>
    </xf>
    <xf numFmtId="3" fontId="35" fillId="0" borderId="40" xfId="42" applyNumberFormat="1" applyFont="1" applyFill="1" applyBorder="1" applyAlignment="1">
      <alignment horizontal="right"/>
    </xf>
    <xf numFmtId="0" fontId="41" fillId="0" borderId="64" xfId="0" applyFont="1" applyBorder="1" applyAlignment="1">
      <alignment/>
    </xf>
    <xf numFmtId="3" fontId="34" fillId="0" borderId="40" xfId="44" applyNumberFormat="1" applyFont="1" applyBorder="1" applyAlignment="1" quotePrefix="1">
      <alignment horizontal="right"/>
    </xf>
    <xf numFmtId="3" fontId="35" fillId="0" borderId="40" xfId="44" applyNumberFormat="1" applyFont="1" applyBorder="1" applyAlignment="1" quotePrefix="1">
      <alignment horizontal="right"/>
    </xf>
    <xf numFmtId="3" fontId="12" fillId="0" borderId="104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/>
    </xf>
    <xf numFmtId="3" fontId="11" fillId="0" borderId="31" xfId="0" applyNumberFormat="1" applyFont="1" applyBorder="1" applyAlignment="1">
      <alignment horizontal="right"/>
    </xf>
    <xf numFmtId="3" fontId="12" fillId="0" borderId="47" xfId="0" applyNumberFormat="1" applyFont="1" applyBorder="1" applyAlignment="1">
      <alignment horizontal="right"/>
    </xf>
    <xf numFmtId="3" fontId="12" fillId="0" borderId="65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40" xfId="0" applyNumberFormat="1" applyFont="1" applyBorder="1" applyAlignment="1" quotePrefix="1">
      <alignment horizontal="right"/>
    </xf>
    <xf numFmtId="3" fontId="11" fillId="0" borderId="65" xfId="0" applyNumberFormat="1" applyFont="1" applyBorder="1" applyAlignment="1">
      <alignment horizontal="right"/>
    </xf>
    <xf numFmtId="3" fontId="12" fillId="0" borderId="49" xfId="0" applyNumberFormat="1" applyFont="1" applyBorder="1" applyAlignment="1" quotePrefix="1">
      <alignment horizontal="right"/>
    </xf>
    <xf numFmtId="3" fontId="12" fillId="0" borderId="36" xfId="0" applyNumberFormat="1" applyFont="1" applyBorder="1" applyAlignment="1">
      <alignment horizontal="right"/>
    </xf>
    <xf numFmtId="3" fontId="12" fillId="0" borderId="52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/>
    </xf>
    <xf numFmtId="3" fontId="11" fillId="0" borderId="47" xfId="0" applyNumberFormat="1" applyFont="1" applyBorder="1" applyAlignment="1" quotePrefix="1">
      <alignment horizontal="right"/>
    </xf>
    <xf numFmtId="3" fontId="12" fillId="0" borderId="65" xfId="0" applyNumberFormat="1" applyFont="1" applyBorder="1" applyAlignment="1" quotePrefix="1">
      <alignment horizontal="right"/>
    </xf>
    <xf numFmtId="3" fontId="11" fillId="0" borderId="40" xfId="0" applyNumberFormat="1" applyFont="1" applyBorder="1" applyAlignment="1" quotePrefix="1">
      <alignment horizontal="right"/>
    </xf>
    <xf numFmtId="3" fontId="12" fillId="0" borderId="52" xfId="42" applyNumberFormat="1" applyFont="1" applyBorder="1" applyAlignment="1" quotePrefix="1">
      <alignment horizontal="right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10" fillId="0" borderId="0" xfId="44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1" fillId="0" borderId="10" xfId="44" applyNumberFormat="1" applyFont="1" applyFill="1" applyBorder="1" applyAlignment="1">
      <alignment horizontal="right"/>
    </xf>
    <xf numFmtId="3" fontId="11" fillId="0" borderId="24" xfId="44" applyNumberFormat="1" applyFont="1" applyBorder="1" applyAlignment="1">
      <alignment horizontal="right"/>
    </xf>
    <xf numFmtId="3" fontId="11" fillId="0" borderId="10" xfId="44" applyNumberFormat="1" applyFont="1" applyBorder="1" applyAlignment="1" quotePrefix="1">
      <alignment horizontal="right"/>
    </xf>
    <xf numFmtId="3" fontId="11" fillId="0" borderId="10" xfId="44" applyNumberFormat="1" applyFont="1" applyBorder="1" applyAlignment="1">
      <alignment horizontal="right"/>
    </xf>
    <xf numFmtId="3" fontId="12" fillId="0" borderId="40" xfId="0" applyNumberFormat="1" applyFont="1" applyFill="1" applyBorder="1" applyAlignment="1" quotePrefix="1">
      <alignment horizontal="right"/>
    </xf>
    <xf numFmtId="3" fontId="11" fillId="0" borderId="36" xfId="44" applyNumberFormat="1" applyFont="1" applyBorder="1" applyAlignment="1">
      <alignment horizontal="right"/>
    </xf>
    <xf numFmtId="3" fontId="12" fillId="0" borderId="52" xfId="44" applyNumberFormat="1" applyFont="1" applyBorder="1" applyAlignment="1">
      <alignment horizontal="right"/>
    </xf>
    <xf numFmtId="3" fontId="32" fillId="0" borderId="47" xfId="0" applyNumberFormat="1" applyFont="1" applyBorder="1" applyAlignment="1" quotePrefix="1">
      <alignment horizontal="right"/>
    </xf>
    <xf numFmtId="3" fontId="32" fillId="0" borderId="39" xfId="0" applyNumberFormat="1" applyFont="1" applyBorder="1" applyAlignment="1" quotePrefix="1">
      <alignment horizontal="right"/>
    </xf>
    <xf numFmtId="3" fontId="48" fillId="0" borderId="0" xfId="0" applyNumberFormat="1" applyFont="1" applyAlignment="1">
      <alignment horizontal="right"/>
    </xf>
    <xf numFmtId="3" fontId="48" fillId="0" borderId="11" xfId="0" applyNumberFormat="1" applyFont="1" applyBorder="1" applyAlignment="1">
      <alignment horizontal="left"/>
    </xf>
    <xf numFmtId="3" fontId="49" fillId="0" borderId="12" xfId="0" applyNumberFormat="1" applyFont="1" applyBorder="1" applyAlignment="1">
      <alignment horizontal="left"/>
    </xf>
    <xf numFmtId="3" fontId="50" fillId="0" borderId="12" xfId="0" applyNumberFormat="1" applyFont="1" applyBorder="1" applyAlignment="1">
      <alignment horizontal="center"/>
    </xf>
    <xf numFmtId="3" fontId="30" fillId="0" borderId="31" xfId="0" applyNumberFormat="1" applyFont="1" applyBorder="1" applyAlignment="1">
      <alignment horizontal="right"/>
    </xf>
    <xf numFmtId="3" fontId="48" fillId="0" borderId="32" xfId="0" applyNumberFormat="1" applyFont="1" applyBorder="1" applyAlignment="1">
      <alignment horizontal="right"/>
    </xf>
    <xf numFmtId="3" fontId="30" fillId="0" borderId="33" xfId="0" applyNumberFormat="1" applyFont="1" applyBorder="1" applyAlignment="1">
      <alignment/>
    </xf>
    <xf numFmtId="3" fontId="48" fillId="0" borderId="39" xfId="0" applyNumberFormat="1" applyFont="1" applyBorder="1" applyAlignment="1">
      <alignment horizontal="right"/>
    </xf>
    <xf numFmtId="3" fontId="30" fillId="0" borderId="55" xfId="0" applyNumberFormat="1" applyFont="1" applyBorder="1" applyAlignment="1">
      <alignment/>
    </xf>
    <xf numFmtId="3" fontId="30" fillId="0" borderId="10" xfId="0" applyNumberFormat="1" applyFont="1" applyBorder="1" applyAlignment="1" quotePrefix="1">
      <alignment horizontal="right"/>
    </xf>
    <xf numFmtId="3" fontId="30" fillId="0" borderId="10" xfId="0" applyNumberFormat="1" applyFont="1" applyBorder="1" applyAlignment="1">
      <alignment horizontal="right"/>
    </xf>
    <xf numFmtId="3" fontId="48" fillId="0" borderId="40" xfId="0" applyNumberFormat="1" applyFont="1" applyBorder="1" applyAlignment="1">
      <alignment horizontal="right"/>
    </xf>
    <xf numFmtId="3" fontId="49" fillId="0" borderId="33" xfId="0" applyNumberFormat="1" applyFont="1" applyBorder="1" applyAlignment="1">
      <alignment/>
    </xf>
    <xf numFmtId="3" fontId="30" fillId="0" borderId="58" xfId="0" applyNumberFormat="1" applyFont="1" applyBorder="1" applyAlignment="1">
      <alignment/>
    </xf>
    <xf numFmtId="3" fontId="30" fillId="0" borderId="24" xfId="42" applyNumberFormat="1" applyFont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3" fontId="48" fillId="0" borderId="41" xfId="0" applyNumberFormat="1" applyFont="1" applyBorder="1" applyAlignment="1">
      <alignment horizontal="right"/>
    </xf>
    <xf numFmtId="3" fontId="30" fillId="0" borderId="10" xfId="42" applyNumberFormat="1" applyFont="1" applyBorder="1" applyAlignment="1">
      <alignment horizontal="right"/>
    </xf>
    <xf numFmtId="3" fontId="30" fillId="0" borderId="39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33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49" fillId="0" borderId="55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 horizontal="right"/>
    </xf>
    <xf numFmtId="3" fontId="30" fillId="0" borderId="10" xfId="0" applyNumberFormat="1" applyFont="1" applyFill="1" applyBorder="1" applyAlignment="1" quotePrefix="1">
      <alignment horizontal="right"/>
    </xf>
    <xf numFmtId="3" fontId="30" fillId="0" borderId="105" xfId="0" applyNumberFormat="1" applyFont="1" applyBorder="1" applyAlignment="1">
      <alignment/>
    </xf>
    <xf numFmtId="3" fontId="30" fillId="0" borderId="47" xfId="0" applyNumberFormat="1" applyFont="1" applyBorder="1" applyAlignment="1">
      <alignment horizontal="right"/>
    </xf>
    <xf numFmtId="3" fontId="48" fillId="0" borderId="52" xfId="0" applyNumberFormat="1" applyFont="1" applyBorder="1" applyAlignment="1">
      <alignment horizontal="right"/>
    </xf>
    <xf numFmtId="3" fontId="30" fillId="0" borderId="64" xfId="0" applyNumberFormat="1" applyFont="1" applyBorder="1" applyAlignment="1">
      <alignment/>
    </xf>
    <xf numFmtId="3" fontId="30" fillId="0" borderId="47" xfId="0" applyNumberFormat="1" applyFont="1" applyBorder="1" applyAlignment="1" quotePrefix="1">
      <alignment horizontal="right"/>
    </xf>
    <xf numFmtId="3" fontId="48" fillId="0" borderId="65" xfId="0" applyNumberFormat="1" applyFont="1" applyBorder="1" applyAlignment="1">
      <alignment horizontal="right"/>
    </xf>
    <xf numFmtId="3" fontId="30" fillId="0" borderId="24" xfId="0" applyNumberFormat="1" applyFont="1" applyBorder="1" applyAlignment="1" quotePrefix="1">
      <alignment horizontal="right"/>
    </xf>
    <xf numFmtId="3" fontId="30" fillId="0" borderId="64" xfId="0" applyNumberFormat="1" applyFont="1" applyBorder="1" applyAlignment="1">
      <alignment horizontal="left"/>
    </xf>
    <xf numFmtId="3" fontId="49" fillId="0" borderId="43" xfId="0" applyNumberFormat="1" applyFont="1" applyBorder="1" applyAlignment="1">
      <alignment horizontal="left" wrapText="1"/>
    </xf>
    <xf numFmtId="3" fontId="30" fillId="0" borderId="51" xfId="0" applyNumberFormat="1" applyFont="1" applyBorder="1" applyAlignment="1" quotePrefix="1">
      <alignment horizontal="right"/>
    </xf>
    <xf numFmtId="3" fontId="48" fillId="0" borderId="33" xfId="0" applyNumberFormat="1" applyFont="1" applyBorder="1" applyAlignment="1">
      <alignment/>
    </xf>
    <xf numFmtId="3" fontId="30" fillId="0" borderId="58" xfId="0" applyNumberFormat="1" applyFont="1" applyBorder="1" applyAlignment="1">
      <alignment horizontal="left"/>
    </xf>
    <xf numFmtId="3" fontId="30" fillId="0" borderId="33" xfId="0" applyNumberFormat="1" applyFont="1" applyBorder="1" applyAlignment="1">
      <alignment horizontal="left"/>
    </xf>
    <xf numFmtId="3" fontId="48" fillId="0" borderId="40" xfId="44" applyNumberFormat="1" applyFont="1" applyBorder="1" applyAlignment="1">
      <alignment horizontal="right"/>
    </xf>
    <xf numFmtId="3" fontId="30" fillId="0" borderId="0" xfId="44" applyNumberFormat="1" applyFont="1" applyBorder="1" applyAlignment="1">
      <alignment horizontal="right"/>
    </xf>
    <xf numFmtId="3" fontId="48" fillId="0" borderId="39" xfId="44" applyNumberFormat="1" applyFont="1" applyBorder="1" applyAlignment="1">
      <alignment horizontal="right"/>
    </xf>
    <xf numFmtId="3" fontId="30" fillId="0" borderId="10" xfId="44" applyNumberFormat="1" applyFont="1" applyBorder="1" applyAlignment="1">
      <alignment horizontal="right"/>
    </xf>
    <xf numFmtId="3" fontId="30" fillId="0" borderId="10" xfId="44" applyNumberFormat="1" applyFont="1" applyBorder="1" applyAlignment="1" quotePrefix="1">
      <alignment horizontal="right"/>
    </xf>
    <xf numFmtId="3" fontId="49" fillId="0" borderId="55" xfId="0" applyNumberFormat="1" applyFont="1" applyBorder="1" applyAlignment="1">
      <alignment/>
    </xf>
    <xf numFmtId="3" fontId="48" fillId="0" borderId="88" xfId="44" applyNumberFormat="1" applyFont="1" applyBorder="1" applyAlignment="1">
      <alignment horizontal="right"/>
    </xf>
    <xf numFmtId="3" fontId="48" fillId="0" borderId="31" xfId="44" applyNumberFormat="1" applyFont="1" applyBorder="1" applyAlignment="1">
      <alignment horizontal="right"/>
    </xf>
    <xf numFmtId="3" fontId="48" fillId="0" borderId="32" xfId="44" applyNumberFormat="1" applyFont="1" applyBorder="1" applyAlignment="1">
      <alignment horizontal="right"/>
    </xf>
    <xf numFmtId="3" fontId="30" fillId="0" borderId="0" xfId="44" applyNumberFormat="1" applyFont="1" applyBorder="1" applyAlignment="1" quotePrefix="1">
      <alignment horizontal="right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right"/>
    </xf>
    <xf numFmtId="3" fontId="25" fillId="0" borderId="104" xfId="0" applyNumberFormat="1" applyFont="1" applyBorder="1" applyAlignment="1">
      <alignment horizontal="left"/>
    </xf>
    <xf numFmtId="3" fontId="25" fillId="0" borderId="37" xfId="0" applyNumberFormat="1" applyFont="1" applyBorder="1" applyAlignment="1">
      <alignment horizontal="center"/>
    </xf>
    <xf numFmtId="3" fontId="25" fillId="0" borderId="38" xfId="0" applyNumberFormat="1" applyFont="1" applyBorder="1" applyAlignment="1">
      <alignment horizontal="center"/>
    </xf>
    <xf numFmtId="3" fontId="27" fillId="0" borderId="106" xfId="0" applyNumberFormat="1" applyFont="1" applyBorder="1" applyAlignment="1">
      <alignment horizontal="left"/>
    </xf>
    <xf numFmtId="3" fontId="27" fillId="0" borderId="107" xfId="0" applyNumberFormat="1" applyFont="1" applyBorder="1" applyAlignment="1">
      <alignment horizontal="center"/>
    </xf>
    <xf numFmtId="3" fontId="28" fillId="0" borderId="108" xfId="0" applyNumberFormat="1" applyFont="1" applyBorder="1" applyAlignment="1">
      <alignment horizontal="center"/>
    </xf>
    <xf numFmtId="3" fontId="25" fillId="0" borderId="109" xfId="0" applyNumberFormat="1" applyFont="1" applyBorder="1" applyAlignment="1">
      <alignment/>
    </xf>
    <xf numFmtId="3" fontId="26" fillId="0" borderId="110" xfId="0" applyNumberFormat="1" applyFont="1" applyBorder="1" applyAlignment="1">
      <alignment horizontal="right"/>
    </xf>
    <xf numFmtId="3" fontId="25" fillId="0" borderId="111" xfId="0" applyNumberFormat="1" applyFont="1" applyBorder="1" applyAlignment="1">
      <alignment horizontal="right"/>
    </xf>
    <xf numFmtId="3" fontId="26" fillId="0" borderId="33" xfId="0" applyNumberFormat="1" applyFont="1" applyBorder="1" applyAlignment="1">
      <alignment horizontal="left"/>
    </xf>
    <xf numFmtId="3" fontId="25" fillId="0" borderId="39" xfId="0" applyNumberFormat="1" applyFont="1" applyBorder="1" applyAlignment="1">
      <alignment horizontal="right"/>
    </xf>
    <xf numFmtId="3" fontId="27" fillId="0" borderId="55" xfId="0" applyNumberFormat="1" applyFont="1" applyBorder="1" applyAlignment="1">
      <alignment horizontal="left"/>
    </xf>
    <xf numFmtId="3" fontId="26" fillId="0" borderId="10" xfId="0" applyNumberFormat="1" applyFont="1" applyBorder="1" applyAlignment="1" quotePrefix="1">
      <alignment horizontal="right"/>
    </xf>
    <xf numFmtId="3" fontId="26" fillId="0" borderId="10" xfId="0" applyNumberFormat="1" applyFont="1" applyBorder="1" applyAlignment="1">
      <alignment horizontal="right"/>
    </xf>
    <xf numFmtId="3" fontId="25" fillId="0" borderId="40" xfId="0" applyNumberFormat="1" applyFont="1" applyBorder="1" applyAlignment="1">
      <alignment horizontal="right"/>
    </xf>
    <xf numFmtId="3" fontId="26" fillId="0" borderId="33" xfId="0" applyNumberFormat="1" applyFont="1" applyBorder="1" applyAlignment="1">
      <alignment/>
    </xf>
    <xf numFmtId="3" fontId="27" fillId="0" borderId="55" xfId="0" applyNumberFormat="1" applyFont="1" applyBorder="1" applyAlignment="1">
      <alignment/>
    </xf>
    <xf numFmtId="3" fontId="26" fillId="0" borderId="58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 quotePrefix="1">
      <alignment horizontal="right"/>
    </xf>
    <xf numFmtId="3" fontId="25" fillId="0" borderId="41" xfId="0" applyNumberFormat="1" applyFont="1" applyFill="1" applyBorder="1" applyAlignment="1">
      <alignment horizontal="right"/>
    </xf>
    <xf numFmtId="3" fontId="27" fillId="0" borderId="55" xfId="0" applyNumberFormat="1" applyFont="1" applyFill="1" applyBorder="1" applyAlignment="1">
      <alignment/>
    </xf>
    <xf numFmtId="3" fontId="26" fillId="0" borderId="10" xfId="0" applyNumberFormat="1" applyFont="1" applyFill="1" applyBorder="1" applyAlignment="1" quotePrefix="1">
      <alignment horizontal="right"/>
    </xf>
    <xf numFmtId="3" fontId="26" fillId="0" borderId="10" xfId="0" applyNumberFormat="1" applyFont="1" applyFill="1" applyBorder="1" applyAlignment="1">
      <alignment horizontal="right"/>
    </xf>
    <xf numFmtId="3" fontId="25" fillId="0" borderId="40" xfId="0" applyNumberFormat="1" applyFont="1" applyFill="1" applyBorder="1" applyAlignment="1">
      <alignment horizontal="right"/>
    </xf>
    <xf numFmtId="3" fontId="27" fillId="0" borderId="33" xfId="0" applyNumberFormat="1" applyFont="1" applyBorder="1" applyAlignment="1">
      <alignment/>
    </xf>
    <xf numFmtId="3" fontId="26" fillId="0" borderId="0" xfId="0" applyNumberFormat="1" applyFont="1" applyBorder="1" applyAlignment="1" quotePrefix="1">
      <alignment horizontal="right"/>
    </xf>
    <xf numFmtId="3" fontId="25" fillId="0" borderId="15" xfId="0" applyNumberFormat="1" applyFont="1" applyBorder="1" applyAlignment="1">
      <alignment/>
    </xf>
    <xf numFmtId="3" fontId="25" fillId="0" borderId="32" xfId="0" applyNumberFormat="1" applyFont="1" applyBorder="1" applyAlignment="1">
      <alignment horizontal="right"/>
    </xf>
    <xf numFmtId="3" fontId="64" fillId="0" borderId="43" xfId="0" applyNumberFormat="1" applyFont="1" applyBorder="1" applyAlignment="1">
      <alignment/>
    </xf>
    <xf numFmtId="3" fontId="64" fillId="0" borderId="36" xfId="0" applyNumberFormat="1" applyFont="1" applyBorder="1" applyAlignment="1">
      <alignment/>
    </xf>
    <xf numFmtId="3" fontId="70" fillId="0" borderId="52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6" fillId="0" borderId="40" xfId="0" applyNumberFormat="1" applyFont="1" applyBorder="1" applyAlignment="1">
      <alignment horizontal="right"/>
    </xf>
    <xf numFmtId="3" fontId="27" fillId="0" borderId="58" xfId="0" applyNumberFormat="1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3" fontId="26" fillId="0" borderId="24" xfId="0" applyNumberFormat="1" applyFont="1" applyBorder="1" applyAlignment="1" quotePrefix="1">
      <alignment horizontal="right"/>
    </xf>
    <xf numFmtId="3" fontId="25" fillId="0" borderId="41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26" fillId="0" borderId="58" xfId="0" applyNumberFormat="1" applyFont="1" applyBorder="1" applyAlignment="1">
      <alignment/>
    </xf>
    <xf numFmtId="3" fontId="25" fillId="0" borderId="39" xfId="0" applyNumberFormat="1" applyFont="1" applyBorder="1" applyAlignment="1">
      <alignment/>
    </xf>
    <xf numFmtId="3" fontId="26" fillId="0" borderId="55" xfId="0" applyNumberFormat="1" applyFont="1" applyBorder="1" applyAlignment="1">
      <alignment horizontal="left"/>
    </xf>
    <xf numFmtId="3" fontId="26" fillId="0" borderId="10" xfId="0" applyNumberFormat="1" applyFont="1" applyBorder="1" applyAlignment="1">
      <alignment/>
    </xf>
    <xf numFmtId="3" fontId="25" fillId="0" borderId="40" xfId="0" applyNumberFormat="1" applyFont="1" applyBorder="1" applyAlignment="1">
      <alignment/>
    </xf>
    <xf numFmtId="3" fontId="26" fillId="0" borderId="58" xfId="0" applyNumberFormat="1" applyFont="1" applyBorder="1" applyAlignment="1">
      <alignment horizontal="left"/>
    </xf>
    <xf numFmtId="3" fontId="26" fillId="0" borderId="24" xfId="0" applyNumberFormat="1" applyFont="1" applyBorder="1" applyAlignment="1">
      <alignment/>
    </xf>
    <xf numFmtId="3" fontId="25" fillId="0" borderId="41" xfId="0" applyNumberFormat="1" applyFont="1" applyBorder="1" applyAlignment="1">
      <alignment/>
    </xf>
    <xf numFmtId="3" fontId="26" fillId="0" borderId="55" xfId="0" applyNumberFormat="1" applyFont="1" applyBorder="1" applyAlignment="1">
      <alignment/>
    </xf>
    <xf numFmtId="3" fontId="27" fillId="0" borderId="33" xfId="0" applyNumberFormat="1" applyFont="1" applyFill="1" applyBorder="1" applyAlignment="1">
      <alignment/>
    </xf>
    <xf numFmtId="3" fontId="26" fillId="0" borderId="24" xfId="0" applyNumberFormat="1" applyFont="1" applyBorder="1" applyAlignment="1" quotePrefix="1">
      <alignment/>
    </xf>
    <xf numFmtId="3" fontId="64" fillId="0" borderId="0" xfId="0" applyNumberFormat="1" applyFont="1" applyBorder="1" applyAlignment="1">
      <alignment/>
    </xf>
    <xf numFmtId="3" fontId="64" fillId="0" borderId="39" xfId="0" applyNumberFormat="1" applyFont="1" applyBorder="1" applyAlignment="1">
      <alignment/>
    </xf>
    <xf numFmtId="3" fontId="26" fillId="0" borderId="36" xfId="0" applyNumberFormat="1" applyFont="1" applyBorder="1" applyAlignment="1" quotePrefix="1">
      <alignment horizontal="right"/>
    </xf>
    <xf numFmtId="175" fontId="30" fillId="0" borderId="0" xfId="0" applyNumberFormat="1" applyFont="1" applyAlignment="1">
      <alignment/>
    </xf>
    <xf numFmtId="175" fontId="48" fillId="0" borderId="0" xfId="0" applyNumberFormat="1" applyFont="1" applyAlignment="1">
      <alignment horizontal="center"/>
    </xf>
    <xf numFmtId="0" fontId="48" fillId="0" borderId="104" xfId="0" applyFont="1" applyBorder="1" applyAlignment="1">
      <alignment horizontal="center"/>
    </xf>
    <xf numFmtId="175" fontId="48" fillId="0" borderId="37" xfId="0" applyNumberFormat="1" applyFont="1" applyBorder="1" applyAlignment="1">
      <alignment horizontal="center"/>
    </xf>
    <xf numFmtId="175" fontId="48" fillId="0" borderId="38" xfId="0" applyNumberFormat="1" applyFont="1" applyBorder="1" applyAlignment="1">
      <alignment horizontal="center"/>
    </xf>
    <xf numFmtId="0" fontId="49" fillId="0" borderId="112" xfId="0" applyFont="1" applyBorder="1" applyAlignment="1">
      <alignment horizontal="center"/>
    </xf>
    <xf numFmtId="175" fontId="49" fillId="0" borderId="78" xfId="0" applyNumberFormat="1" applyFont="1" applyBorder="1" applyAlignment="1">
      <alignment horizontal="center"/>
    </xf>
    <xf numFmtId="175" fontId="50" fillId="0" borderId="79" xfId="0" applyNumberFormat="1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48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6" fillId="0" borderId="0" xfId="0" applyFont="1" applyBorder="1" applyAlignment="1">
      <alignment wrapText="1"/>
    </xf>
    <xf numFmtId="0" fontId="46" fillId="0" borderId="0" xfId="0" applyNumberFormat="1" applyFont="1" applyBorder="1" applyAlignment="1">
      <alignment/>
    </xf>
    <xf numFmtId="0" fontId="31" fillId="0" borderId="0" xfId="0" applyFont="1" applyBorder="1" applyAlignment="1">
      <alignment wrapText="1"/>
    </xf>
    <xf numFmtId="0" fontId="32" fillId="0" borderId="0" xfId="0" applyFont="1" applyBorder="1" applyAlignment="1">
      <alignment horizontal="right" wrapText="1"/>
    </xf>
    <xf numFmtId="176" fontId="32" fillId="0" borderId="0" xfId="0" applyNumberFormat="1" applyFont="1" applyBorder="1" applyAlignment="1">
      <alignment horizontal="center" wrapText="1"/>
    </xf>
    <xf numFmtId="176" fontId="33" fillId="0" borderId="0" xfId="0" applyNumberFormat="1" applyFont="1" applyBorder="1" applyAlignment="1">
      <alignment horizontal="center" wrapText="1"/>
    </xf>
    <xf numFmtId="0" fontId="31" fillId="0" borderId="0" xfId="0" applyNumberFormat="1" applyFont="1" applyBorder="1" applyAlignment="1">
      <alignment/>
    </xf>
    <xf numFmtId="3" fontId="31" fillId="35" borderId="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vertical="center" wrapText="1"/>
    </xf>
    <xf numFmtId="3" fontId="31" fillId="0" borderId="0" xfId="44" applyNumberFormat="1" applyFont="1" applyBorder="1" applyAlignment="1">
      <alignment horizontal="right" vertical="center" wrapText="1"/>
    </xf>
    <xf numFmtId="176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Border="1" applyAlignment="1">
      <alignment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31" fillId="36" borderId="0" xfId="0" applyFont="1" applyFill="1" applyBorder="1" applyAlignment="1">
      <alignment horizontal="center" vertical="center" wrapText="1"/>
    </xf>
    <xf numFmtId="3" fontId="31" fillId="36" borderId="0" xfId="0" applyNumberFormat="1" applyFont="1" applyFill="1" applyBorder="1" applyAlignment="1">
      <alignment horizontal="right" vertical="center" wrapText="1"/>
    </xf>
    <xf numFmtId="3" fontId="31" fillId="36" borderId="0" xfId="44" applyNumberFormat="1" applyFont="1" applyFill="1" applyBorder="1" applyAlignment="1">
      <alignment horizontal="right" vertical="center" wrapText="1"/>
    </xf>
    <xf numFmtId="0" fontId="31" fillId="33" borderId="0" xfId="0" applyFont="1" applyFill="1" applyBorder="1" applyAlignment="1">
      <alignment horizontal="center" vertical="center" wrapText="1"/>
    </xf>
    <xf numFmtId="3" fontId="31" fillId="33" borderId="0" xfId="0" applyNumberFormat="1" applyFont="1" applyFill="1" applyBorder="1" applyAlignment="1">
      <alignment horizontal="right" vertical="center" wrapText="1"/>
    </xf>
    <xf numFmtId="0" fontId="31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31" fillId="34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3" fontId="31" fillId="0" borderId="0" xfId="44" applyNumberFormat="1" applyFont="1" applyFill="1" applyBorder="1" applyAlignment="1">
      <alignment horizontal="right" vertical="center" wrapText="1"/>
    </xf>
    <xf numFmtId="176" fontId="33" fillId="0" borderId="0" xfId="0" applyNumberFormat="1" applyFont="1" applyFill="1" applyBorder="1" applyAlignment="1">
      <alignment horizontal="right" vertical="center" wrapText="1"/>
    </xf>
    <xf numFmtId="3" fontId="31" fillId="0" borderId="85" xfId="0" applyNumberFormat="1" applyFont="1" applyBorder="1" applyAlignment="1">
      <alignment/>
    </xf>
    <xf numFmtId="176" fontId="33" fillId="0" borderId="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3" fontId="14" fillId="0" borderId="12" xfId="0" applyNumberFormat="1" applyFont="1" applyBorder="1" applyAlignment="1">
      <alignment horizontal="center"/>
    </xf>
    <xf numFmtId="0" fontId="14" fillId="0" borderId="22" xfId="0" applyFont="1" applyBorder="1" applyAlignment="1">
      <alignment/>
    </xf>
    <xf numFmtId="0" fontId="14" fillId="0" borderId="81" xfId="0" applyFont="1" applyBorder="1" applyAlignment="1">
      <alignment/>
    </xf>
    <xf numFmtId="0" fontId="43" fillId="0" borderId="13" xfId="0" applyFont="1" applyBorder="1" applyAlignment="1">
      <alignment/>
    </xf>
    <xf numFmtId="0" fontId="22" fillId="0" borderId="113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3" fontId="24" fillId="0" borderId="0" xfId="0" applyNumberFormat="1" applyFont="1" applyAlignment="1">
      <alignment/>
    </xf>
    <xf numFmtId="3" fontId="31" fillId="0" borderId="11" xfId="0" applyNumberFormat="1" applyFont="1" applyBorder="1" applyAlignment="1">
      <alignment horizontal="center"/>
    </xf>
    <xf numFmtId="3" fontId="33" fillId="0" borderId="14" xfId="0" applyNumberFormat="1" applyFont="1" applyBorder="1" applyAlignment="1">
      <alignment horizontal="center"/>
    </xf>
    <xf numFmtId="3" fontId="32" fillId="0" borderId="13" xfId="0" applyNumberFormat="1" applyFont="1" applyBorder="1" applyAlignment="1">
      <alignment/>
    </xf>
    <xf numFmtId="3" fontId="32" fillId="0" borderId="18" xfId="0" applyNumberFormat="1" applyFont="1" applyBorder="1" applyAlignment="1">
      <alignment horizontal="right"/>
    </xf>
    <xf numFmtId="3" fontId="32" fillId="0" borderId="19" xfId="0" applyNumberFormat="1" applyFont="1" applyBorder="1" applyAlignment="1">
      <alignment/>
    </xf>
    <xf numFmtId="3" fontId="32" fillId="0" borderId="18" xfId="0" applyNumberFormat="1" applyFont="1" applyBorder="1" applyAlignment="1">
      <alignment/>
    </xf>
    <xf numFmtId="3" fontId="32" fillId="0" borderId="13" xfId="0" applyNumberFormat="1" applyFont="1" applyBorder="1" applyAlignment="1" quotePrefix="1">
      <alignment horizontal="right"/>
    </xf>
    <xf numFmtId="3" fontId="32" fillId="0" borderId="18" xfId="0" applyNumberFormat="1" applyFont="1" applyBorder="1" applyAlignment="1" quotePrefix="1">
      <alignment horizontal="right"/>
    </xf>
    <xf numFmtId="3" fontId="32" fillId="0" borderId="19" xfId="0" applyNumberFormat="1" applyFont="1" applyBorder="1" applyAlignment="1" quotePrefix="1">
      <alignment horizontal="right"/>
    </xf>
    <xf numFmtId="3" fontId="32" fillId="0" borderId="53" xfId="0" applyNumberFormat="1" applyFont="1" applyBorder="1" applyAlignment="1" quotePrefix="1">
      <alignment horizontal="right"/>
    </xf>
    <xf numFmtId="3" fontId="32" fillId="0" borderId="31" xfId="0" applyNumberFormat="1" applyFont="1" applyBorder="1" applyAlignment="1" quotePrefix="1">
      <alignment horizontal="right"/>
    </xf>
    <xf numFmtId="3" fontId="32" fillId="0" borderId="54" xfId="0" applyNumberFormat="1" applyFont="1" applyBorder="1" applyAlignment="1" quotePrefix="1">
      <alignment horizontal="right"/>
    </xf>
    <xf numFmtId="3" fontId="32" fillId="0" borderId="53" xfId="0" applyNumberFormat="1" applyFont="1" applyBorder="1" applyAlignment="1">
      <alignment/>
    </xf>
    <xf numFmtId="3" fontId="32" fillId="0" borderId="31" xfId="0" applyNumberFormat="1" applyFont="1" applyBorder="1" applyAlignment="1">
      <alignment horizontal="right"/>
    </xf>
    <xf numFmtId="3" fontId="32" fillId="0" borderId="54" xfId="0" applyNumberFormat="1" applyFont="1" applyBorder="1" applyAlignment="1">
      <alignment horizontal="right"/>
    </xf>
    <xf numFmtId="3" fontId="32" fillId="0" borderId="17" xfId="0" applyNumberFormat="1" applyFont="1" applyBorder="1" applyAlignment="1" quotePrefix="1">
      <alignment horizontal="right"/>
    </xf>
    <xf numFmtId="3" fontId="32" fillId="0" borderId="0" xfId="0" applyNumberFormat="1" applyFont="1" applyBorder="1" applyAlignment="1" quotePrefix="1">
      <alignment horizontal="right"/>
    </xf>
    <xf numFmtId="3" fontId="32" fillId="0" borderId="16" xfId="0" applyNumberFormat="1" applyFont="1" applyBorder="1" applyAlignment="1" quotePrefix="1">
      <alignment horizontal="right"/>
    </xf>
    <xf numFmtId="3" fontId="31" fillId="0" borderId="17" xfId="0" applyNumberFormat="1" applyFont="1" applyBorder="1" applyAlignment="1" quotePrefix="1">
      <alignment horizontal="right"/>
    </xf>
    <xf numFmtId="3" fontId="31" fillId="0" borderId="16" xfId="0" applyNumberFormat="1" applyFont="1" applyBorder="1" applyAlignment="1" quotePrefix="1">
      <alignment horizontal="right"/>
    </xf>
    <xf numFmtId="3" fontId="31" fillId="0" borderId="17" xfId="0" applyNumberFormat="1" applyFont="1" applyBorder="1" applyAlignment="1">
      <alignment/>
    </xf>
    <xf numFmtId="3" fontId="31" fillId="0" borderId="16" xfId="0" applyNumberFormat="1" applyFont="1" applyBorder="1" applyAlignment="1">
      <alignment horizontal="right"/>
    </xf>
    <xf numFmtId="3" fontId="32" fillId="0" borderId="17" xfId="0" applyNumberFormat="1" applyFont="1" applyBorder="1" applyAlignment="1">
      <alignment/>
    </xf>
    <xf numFmtId="3" fontId="32" fillId="0" borderId="16" xfId="0" applyNumberFormat="1" applyFont="1" applyBorder="1" applyAlignment="1">
      <alignment horizontal="right"/>
    </xf>
    <xf numFmtId="0" fontId="31" fillId="0" borderId="17" xfId="0" applyFont="1" applyBorder="1" applyAlignment="1">
      <alignment/>
    </xf>
    <xf numFmtId="1" fontId="31" fillId="0" borderId="0" xfId="0" applyNumberFormat="1" applyFont="1" applyBorder="1" applyAlignment="1">
      <alignment/>
    </xf>
    <xf numFmtId="0" fontId="31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6" xfId="0" applyFont="1" applyBorder="1" applyAlignment="1">
      <alignment/>
    </xf>
    <xf numFmtId="3" fontId="32" fillId="0" borderId="49" xfId="0" applyNumberFormat="1" applyFont="1" applyBorder="1" applyAlignment="1" quotePrefix="1">
      <alignment horizontal="right"/>
    </xf>
    <xf numFmtId="3" fontId="32" fillId="0" borderId="36" xfId="0" applyNumberFormat="1" applyFont="1" applyBorder="1" applyAlignment="1" quotePrefix="1">
      <alignment horizontal="right"/>
    </xf>
    <xf numFmtId="3" fontId="32" fillId="0" borderId="80" xfId="0" applyNumberFormat="1" applyFont="1" applyBorder="1" applyAlignment="1" quotePrefix="1">
      <alignment horizontal="right"/>
    </xf>
    <xf numFmtId="3" fontId="31" fillId="0" borderId="49" xfId="0" applyNumberFormat="1" applyFont="1" applyBorder="1" applyAlignment="1">
      <alignment/>
    </xf>
    <xf numFmtId="3" fontId="31" fillId="0" borderId="80" xfId="0" applyNumberFormat="1" applyFont="1" applyBorder="1" applyAlignment="1">
      <alignment/>
    </xf>
    <xf numFmtId="3" fontId="32" fillId="0" borderId="31" xfId="0" applyNumberFormat="1" applyFont="1" applyBorder="1" applyAlignment="1">
      <alignment/>
    </xf>
    <xf numFmtId="3" fontId="32" fillId="0" borderId="16" xfId="0" applyNumberFormat="1" applyFont="1" applyBorder="1" applyAlignment="1">
      <alignment/>
    </xf>
    <xf numFmtId="3" fontId="31" fillId="0" borderId="16" xfId="0" applyNumberFormat="1" applyFont="1" applyBorder="1" applyAlignment="1">
      <alignment/>
    </xf>
    <xf numFmtId="3" fontId="37" fillId="0" borderId="11" xfId="0" applyNumberFormat="1" applyFont="1" applyBorder="1" applyAlignment="1">
      <alignment horizontal="center" wrapText="1"/>
    </xf>
    <xf numFmtId="3" fontId="25" fillId="0" borderId="60" xfId="0" applyNumberFormat="1" applyFont="1" applyBorder="1" applyAlignment="1">
      <alignment/>
    </xf>
    <xf numFmtId="3" fontId="25" fillId="0" borderId="60" xfId="0" applyNumberFormat="1" applyFont="1" applyBorder="1" applyAlignment="1">
      <alignment horizontal="right"/>
    </xf>
    <xf numFmtId="3" fontId="25" fillId="0" borderId="53" xfId="0" applyNumberFormat="1" applyFont="1" applyBorder="1" applyAlignment="1">
      <alignment/>
    </xf>
    <xf numFmtId="3" fontId="25" fillId="0" borderId="31" xfId="0" applyNumberFormat="1" applyFont="1" applyBorder="1" applyAlignment="1">
      <alignment/>
    </xf>
    <xf numFmtId="3" fontId="25" fillId="0" borderId="54" xfId="0" applyNumberFormat="1" applyFont="1" applyBorder="1" applyAlignment="1">
      <alignment/>
    </xf>
    <xf numFmtId="3" fontId="25" fillId="0" borderId="102" xfId="0" applyNumberFormat="1" applyFont="1" applyBorder="1" applyAlignment="1">
      <alignment/>
    </xf>
    <xf numFmtId="3" fontId="25" fillId="0" borderId="54" xfId="0" applyNumberFormat="1" applyFont="1" applyBorder="1" applyAlignment="1">
      <alignment horizontal="right"/>
    </xf>
    <xf numFmtId="3" fontId="25" fillId="0" borderId="102" xfId="0" applyNumberFormat="1" applyFont="1" applyBorder="1" applyAlignment="1">
      <alignment horizontal="right"/>
    </xf>
    <xf numFmtId="3" fontId="25" fillId="0" borderId="103" xfId="0" applyNumberFormat="1" applyFont="1" applyBorder="1" applyAlignment="1">
      <alignment/>
    </xf>
    <xf numFmtId="3" fontId="26" fillId="0" borderId="103" xfId="0" applyNumberFormat="1" applyFont="1" applyBorder="1" applyAlignment="1">
      <alignment horizontal="right"/>
    </xf>
    <xf numFmtId="3" fontId="25" fillId="0" borderId="103" xfId="0" applyNumberFormat="1" applyFont="1" applyBorder="1" applyAlignment="1">
      <alignment horizontal="right"/>
    </xf>
    <xf numFmtId="3" fontId="26" fillId="0" borderId="36" xfId="0" applyNumberFormat="1" applyFont="1" applyBorder="1" applyAlignment="1">
      <alignment/>
    </xf>
    <xf numFmtId="3" fontId="26" fillId="0" borderId="36" xfId="0" applyNumberFormat="1" applyFont="1" applyBorder="1" applyAlignment="1">
      <alignment horizontal="right"/>
    </xf>
    <xf numFmtId="3" fontId="25" fillId="0" borderId="82" xfId="0" applyNumberFormat="1" applyFont="1" applyBorder="1" applyAlignment="1">
      <alignment/>
    </xf>
    <xf numFmtId="3" fontId="26" fillId="0" borderId="80" xfId="0" applyNumberFormat="1" applyFont="1" applyBorder="1" applyAlignment="1">
      <alignment horizontal="right"/>
    </xf>
    <xf numFmtId="3" fontId="40" fillId="0" borderId="32" xfId="0" applyNumberFormat="1" applyFont="1" applyBorder="1" applyAlignment="1">
      <alignment/>
    </xf>
    <xf numFmtId="3" fontId="39" fillId="0" borderId="39" xfId="0" applyNumberFormat="1" applyFont="1" applyBorder="1" applyAlignment="1">
      <alignment/>
    </xf>
    <xf numFmtId="3" fontId="40" fillId="0" borderId="39" xfId="0" applyNumberFormat="1" applyFont="1" applyBorder="1" applyAlignment="1">
      <alignment/>
    </xf>
    <xf numFmtId="3" fontId="39" fillId="0" borderId="52" xfId="0" applyNumberFormat="1" applyFont="1" applyBorder="1" applyAlignment="1">
      <alignment/>
    </xf>
    <xf numFmtId="3" fontId="43" fillId="0" borderId="52" xfId="0" applyNumberFormat="1" applyFont="1" applyBorder="1" applyAlignment="1" quotePrefix="1">
      <alignment horizontal="right"/>
    </xf>
    <xf numFmtId="3" fontId="35" fillId="0" borderId="40" xfId="42" applyNumberFormat="1" applyFont="1" applyBorder="1" applyAlignment="1" quotePrefix="1">
      <alignment horizontal="right"/>
    </xf>
    <xf numFmtId="3" fontId="73" fillId="0" borderId="60" xfId="44" applyNumberFormat="1" applyFont="1" applyBorder="1" applyAlignment="1">
      <alignment horizontal="right"/>
    </xf>
    <xf numFmtId="0" fontId="67" fillId="0" borderId="0" xfId="0" applyFont="1" applyAlignment="1">
      <alignment/>
    </xf>
    <xf numFmtId="3" fontId="65" fillId="0" borderId="13" xfId="0" applyNumberFormat="1" applyFont="1" applyBorder="1" applyAlignment="1">
      <alignment/>
    </xf>
    <xf numFmtId="3" fontId="65" fillId="0" borderId="18" xfId="0" applyNumberFormat="1" applyFont="1" applyBorder="1" applyAlignment="1">
      <alignment horizontal="right"/>
    </xf>
    <xf numFmtId="3" fontId="65" fillId="0" borderId="18" xfId="0" applyNumberFormat="1" applyFont="1" applyBorder="1" applyAlignment="1">
      <alignment/>
    </xf>
    <xf numFmtId="3" fontId="65" fillId="0" borderId="19" xfId="0" applyNumberFormat="1" applyFont="1" applyBorder="1" applyAlignment="1">
      <alignment/>
    </xf>
    <xf numFmtId="3" fontId="65" fillId="0" borderId="53" xfId="0" applyNumberFormat="1" applyFont="1" applyBorder="1" applyAlignment="1">
      <alignment/>
    </xf>
    <xf numFmtId="3" fontId="65" fillId="0" borderId="31" xfId="0" applyNumberFormat="1" applyFont="1" applyBorder="1" applyAlignment="1">
      <alignment horizontal="right"/>
    </xf>
    <xf numFmtId="3" fontId="65" fillId="0" borderId="54" xfId="0" applyNumberFormat="1" applyFont="1" applyBorder="1" applyAlignment="1">
      <alignment horizontal="right"/>
    </xf>
    <xf numFmtId="3" fontId="66" fillId="0" borderId="53" xfId="0" applyNumberFormat="1" applyFont="1" applyBorder="1" applyAlignment="1">
      <alignment horizontal="right"/>
    </xf>
    <xf numFmtId="3" fontId="66" fillId="0" borderId="31" xfId="0" applyNumberFormat="1" applyFont="1" applyBorder="1" applyAlignment="1">
      <alignment horizontal="right"/>
    </xf>
    <xf numFmtId="3" fontId="65" fillId="0" borderId="0" xfId="0" applyNumberFormat="1" applyFont="1" applyBorder="1" applyAlignment="1">
      <alignment horizontal="right"/>
    </xf>
    <xf numFmtId="3" fontId="66" fillId="0" borderId="54" xfId="0" applyNumberFormat="1" applyFont="1" applyBorder="1" applyAlignment="1">
      <alignment horizontal="right"/>
    </xf>
    <xf numFmtId="3" fontId="66" fillId="0" borderId="17" xfId="0" applyNumberFormat="1" applyFont="1" applyBorder="1" applyAlignment="1">
      <alignment horizontal="right"/>
    </xf>
    <xf numFmtId="3" fontId="66" fillId="0" borderId="0" xfId="0" applyNumberFormat="1" applyFont="1" applyBorder="1" applyAlignment="1">
      <alignment horizontal="right"/>
    </xf>
    <xf numFmtId="3" fontId="66" fillId="0" borderId="16" xfId="0" applyNumberFormat="1" applyFont="1" applyBorder="1" applyAlignment="1">
      <alignment horizontal="right"/>
    </xf>
    <xf numFmtId="3" fontId="66" fillId="0" borderId="17" xfId="0" applyNumberFormat="1" applyFont="1" applyBorder="1" applyAlignment="1" quotePrefix="1">
      <alignment horizontal="right"/>
    </xf>
    <xf numFmtId="3" fontId="66" fillId="0" borderId="16" xfId="0" applyNumberFormat="1" applyFont="1" applyBorder="1" applyAlignment="1" quotePrefix="1">
      <alignment horizontal="right"/>
    </xf>
    <xf numFmtId="3" fontId="66" fillId="37" borderId="0" xfId="0" applyNumberFormat="1" applyFont="1" applyFill="1" applyBorder="1" applyAlignment="1">
      <alignment horizontal="right"/>
    </xf>
    <xf numFmtId="3" fontId="66" fillId="0" borderId="17" xfId="0" applyNumberFormat="1" applyFont="1" applyBorder="1" applyAlignment="1">
      <alignment/>
    </xf>
    <xf numFmtId="3" fontId="65" fillId="0" borderId="17" xfId="0" applyNumberFormat="1" applyFont="1" applyBorder="1" applyAlignment="1">
      <alignment/>
    </xf>
    <xf numFmtId="3" fontId="65" fillId="0" borderId="16" xfId="0" applyNumberFormat="1" applyFont="1" applyBorder="1" applyAlignment="1">
      <alignment horizontal="right"/>
    </xf>
    <xf numFmtId="0" fontId="66" fillId="0" borderId="17" xfId="0" applyFont="1" applyBorder="1" applyAlignment="1">
      <alignment/>
    </xf>
    <xf numFmtId="1" fontId="66" fillId="0" borderId="0" xfId="0" applyNumberFormat="1" applyFont="1" applyBorder="1" applyAlignment="1">
      <alignment/>
    </xf>
    <xf numFmtId="0" fontId="66" fillId="0" borderId="16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6" xfId="0" applyFont="1" applyBorder="1" applyAlignment="1">
      <alignment/>
    </xf>
    <xf numFmtId="3" fontId="66" fillId="0" borderId="49" xfId="0" applyNumberFormat="1" applyFont="1" applyBorder="1" applyAlignment="1">
      <alignment/>
    </xf>
    <xf numFmtId="3" fontId="66" fillId="0" borderId="36" xfId="0" applyNumberFormat="1" applyFont="1" applyBorder="1" applyAlignment="1">
      <alignment horizontal="right"/>
    </xf>
    <xf numFmtId="3" fontId="66" fillId="0" borderId="80" xfId="0" applyNumberFormat="1" applyFont="1" applyBorder="1" applyAlignment="1">
      <alignment/>
    </xf>
    <xf numFmtId="3" fontId="66" fillId="0" borderId="49" xfId="0" applyNumberFormat="1" applyFont="1" applyBorder="1" applyAlignment="1">
      <alignment horizontal="right"/>
    </xf>
    <xf numFmtId="3" fontId="66" fillId="0" borderId="80" xfId="0" applyNumberFormat="1" applyFont="1" applyBorder="1" applyAlignment="1">
      <alignment horizontal="right"/>
    </xf>
    <xf numFmtId="3" fontId="65" fillId="0" borderId="54" xfId="0" applyNumberFormat="1" applyFont="1" applyBorder="1" applyAlignment="1" quotePrefix="1">
      <alignment horizontal="right"/>
    </xf>
    <xf numFmtId="3" fontId="66" fillId="0" borderId="0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/>
    </xf>
    <xf numFmtId="3" fontId="13" fillId="0" borderId="11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22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22" fillId="0" borderId="22" xfId="0" applyFont="1" applyBorder="1" applyAlignment="1">
      <alignment/>
    </xf>
    <xf numFmtId="0" fontId="13" fillId="0" borderId="23" xfId="0" applyFont="1" applyBorder="1" applyAlignment="1">
      <alignment/>
    </xf>
    <xf numFmtId="3" fontId="22" fillId="0" borderId="11" xfId="0" applyNumberFormat="1" applyFont="1" applyBorder="1" applyAlignment="1">
      <alignment horizontal="center"/>
    </xf>
    <xf numFmtId="3" fontId="15" fillId="0" borderId="112" xfId="0" applyNumberFormat="1" applyFont="1" applyBorder="1" applyAlignment="1">
      <alignment horizontal="center"/>
    </xf>
    <xf numFmtId="3" fontId="15" fillId="0" borderId="78" xfId="0" applyNumberFormat="1" applyFont="1" applyBorder="1" applyAlignment="1">
      <alignment horizontal="center"/>
    </xf>
    <xf numFmtId="3" fontId="17" fillId="0" borderId="79" xfId="0" applyNumberFormat="1" applyFont="1" applyBorder="1" applyAlignment="1">
      <alignment horizontal="center"/>
    </xf>
    <xf numFmtId="3" fontId="74" fillId="0" borderId="43" xfId="0" applyNumberFormat="1" applyFont="1" applyBorder="1" applyAlignment="1">
      <alignment horizontal="right"/>
    </xf>
    <xf numFmtId="3" fontId="74" fillId="0" borderId="12" xfId="0" applyNumberFormat="1" applyFont="1" applyBorder="1" applyAlignment="1" quotePrefix="1">
      <alignment horizontal="right"/>
    </xf>
    <xf numFmtId="3" fontId="74" fillId="0" borderId="52" xfId="0" applyNumberFormat="1" applyFont="1" applyBorder="1" applyAlignment="1" quotePrefix="1">
      <alignment horizontal="right"/>
    </xf>
    <xf numFmtId="0" fontId="74" fillId="0" borderId="12" xfId="0" applyFont="1" applyBorder="1" applyAlignment="1" quotePrefix="1">
      <alignment horizontal="right"/>
    </xf>
    <xf numFmtId="3" fontId="74" fillId="0" borderId="14" xfId="0" applyNumberFormat="1" applyFont="1" applyBorder="1" applyAlignment="1">
      <alignment horizontal="right"/>
    </xf>
    <xf numFmtId="3" fontId="74" fillId="0" borderId="39" xfId="0" applyNumberFormat="1" applyFont="1" applyBorder="1" applyAlignment="1">
      <alignment horizontal="right"/>
    </xf>
    <xf numFmtId="0" fontId="74" fillId="0" borderId="14" xfId="0" applyFont="1" applyBorder="1" applyAlignment="1">
      <alignment horizontal="right"/>
    </xf>
    <xf numFmtId="3" fontId="74" fillId="0" borderId="12" xfId="0" applyNumberFormat="1" applyFont="1" applyBorder="1" applyAlignment="1">
      <alignment horizontal="right"/>
    </xf>
    <xf numFmtId="3" fontId="74" fillId="0" borderId="52" xfId="0" applyNumberFormat="1" applyFont="1" applyBorder="1" applyAlignment="1">
      <alignment horizontal="right"/>
    </xf>
    <xf numFmtId="3" fontId="75" fillId="0" borderId="114" xfId="0" applyNumberFormat="1" applyFont="1" applyBorder="1" applyAlignment="1">
      <alignment horizontal="right"/>
    </xf>
    <xf numFmtId="3" fontId="75" fillId="0" borderId="114" xfId="0" applyNumberFormat="1" applyFont="1" applyBorder="1" applyAlignment="1" quotePrefix="1">
      <alignment horizontal="right"/>
    </xf>
    <xf numFmtId="3" fontId="73" fillId="0" borderId="0" xfId="0" applyNumberFormat="1" applyFont="1" applyAlignment="1">
      <alignment/>
    </xf>
    <xf numFmtId="3" fontId="72" fillId="0" borderId="73" xfId="0" applyNumberFormat="1" applyFont="1" applyBorder="1" applyAlignment="1">
      <alignment/>
    </xf>
    <xf numFmtId="3" fontId="72" fillId="0" borderId="77" xfId="0" applyNumberFormat="1" applyFont="1" applyBorder="1" applyAlignment="1">
      <alignment/>
    </xf>
    <xf numFmtId="3" fontId="72" fillId="0" borderId="74" xfId="0" applyNumberFormat="1" applyFont="1" applyBorder="1" applyAlignment="1">
      <alignment/>
    </xf>
    <xf numFmtId="3" fontId="73" fillId="0" borderId="60" xfId="0" applyNumberFormat="1" applyFont="1" applyBorder="1" applyAlignment="1">
      <alignment/>
    </xf>
    <xf numFmtId="3" fontId="73" fillId="0" borderId="0" xfId="0" applyNumberFormat="1" applyFont="1" applyBorder="1" applyAlignment="1">
      <alignment/>
    </xf>
    <xf numFmtId="3" fontId="72" fillId="0" borderId="0" xfId="0" applyNumberFormat="1" applyFont="1" applyAlignment="1">
      <alignment/>
    </xf>
    <xf numFmtId="3" fontId="72" fillId="0" borderId="0" xfId="0" applyNumberFormat="1" applyFont="1" applyAlignment="1">
      <alignment/>
    </xf>
    <xf numFmtId="3" fontId="72" fillId="0" borderId="0" xfId="44" applyNumberFormat="1" applyFont="1" applyBorder="1" applyAlignment="1">
      <alignment/>
    </xf>
    <xf numFmtId="3" fontId="72" fillId="0" borderId="115" xfId="44" applyNumberFormat="1" applyFont="1" applyBorder="1" applyAlignment="1">
      <alignment/>
    </xf>
    <xf numFmtId="3" fontId="76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3" fontId="22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32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23" fillId="0" borderId="39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" fontId="13" fillId="0" borderId="39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/>
    </xf>
    <xf numFmtId="3" fontId="24" fillId="0" borderId="14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/>
    </xf>
    <xf numFmtId="2" fontId="32" fillId="0" borderId="18" xfId="0" applyNumberFormat="1" applyFont="1" applyBorder="1" applyAlignment="1">
      <alignment/>
    </xf>
    <xf numFmtId="3" fontId="45" fillId="0" borderId="11" xfId="0" applyNumberFormat="1" applyFont="1" applyBorder="1" applyAlignment="1">
      <alignment horizontal="center"/>
    </xf>
    <xf numFmtId="3" fontId="32" fillId="0" borderId="14" xfId="0" applyNumberFormat="1" applyFont="1" applyBorder="1" applyAlignment="1">
      <alignment horizontal="center"/>
    </xf>
    <xf numFmtId="2" fontId="32" fillId="0" borderId="19" xfId="0" applyNumberFormat="1" applyFont="1" applyBorder="1" applyAlignment="1">
      <alignment/>
    </xf>
    <xf numFmtId="3" fontId="31" fillId="0" borderId="18" xfId="0" applyNumberFormat="1" applyFont="1" applyBorder="1" applyAlignment="1">
      <alignment/>
    </xf>
    <xf numFmtId="3" fontId="45" fillId="0" borderId="14" xfId="0" applyNumberFormat="1" applyFont="1" applyBorder="1" applyAlignment="1">
      <alignment horizontal="center"/>
    </xf>
    <xf numFmtId="3" fontId="31" fillId="0" borderId="32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" fontId="33" fillId="0" borderId="39" xfId="0" applyNumberFormat="1" applyFont="1" applyBorder="1" applyAlignment="1">
      <alignment horizontal="center"/>
    </xf>
    <xf numFmtId="3" fontId="31" fillId="0" borderId="14" xfId="0" applyNumberFormat="1" applyFont="1" applyBorder="1" applyAlignment="1">
      <alignment horizontal="center"/>
    </xf>
    <xf numFmtId="2" fontId="31" fillId="0" borderId="14" xfId="0" applyNumberFormat="1" applyFont="1" applyBorder="1" applyAlignment="1">
      <alignment horizontal="center"/>
    </xf>
    <xf numFmtId="3" fontId="31" fillId="0" borderId="33" xfId="0" applyNumberFormat="1" applyFont="1" applyBorder="1" applyAlignment="1">
      <alignment horizontal="center"/>
    </xf>
    <xf numFmtId="3" fontId="29" fillId="0" borderId="24" xfId="0" applyNumberFormat="1" applyFont="1" applyBorder="1" applyAlignment="1" quotePrefix="1">
      <alignment horizontal="right"/>
    </xf>
    <xf numFmtId="3" fontId="29" fillId="0" borderId="24" xfId="0" applyNumberFormat="1" applyFont="1" applyFill="1" applyBorder="1" applyAlignment="1">
      <alignment horizontal="right"/>
    </xf>
    <xf numFmtId="3" fontId="37" fillId="0" borderId="41" xfId="0" applyNumberFormat="1" applyFont="1" applyBorder="1" applyAlignment="1" quotePrefix="1">
      <alignment/>
    </xf>
    <xf numFmtId="3" fontId="34" fillId="0" borderId="0" xfId="0" applyNumberFormat="1" applyFont="1" applyFill="1" applyBorder="1" applyAlignment="1" quotePrefix="1">
      <alignment horizontal="right"/>
    </xf>
    <xf numFmtId="0" fontId="35" fillId="0" borderId="17" xfId="0" applyFont="1" applyBorder="1" applyAlignment="1" quotePrefix="1">
      <alignment horizontal="right"/>
    </xf>
    <xf numFmtId="0" fontId="37" fillId="0" borderId="17" xfId="0" applyFont="1" applyBorder="1" applyAlignment="1" quotePrefix="1">
      <alignment horizontal="right"/>
    </xf>
    <xf numFmtId="177" fontId="35" fillId="0" borderId="19" xfId="0" applyNumberFormat="1" applyFont="1" applyBorder="1" applyAlignment="1">
      <alignment/>
    </xf>
    <xf numFmtId="0" fontId="37" fillId="0" borderId="0" xfId="0" applyFont="1" applyBorder="1" applyAlignment="1" quotePrefix="1">
      <alignment horizontal="right"/>
    </xf>
    <xf numFmtId="0" fontId="37" fillId="0" borderId="16" xfId="0" applyFont="1" applyBorder="1" applyAlignment="1" quotePrefix="1">
      <alignment horizontal="right"/>
    </xf>
    <xf numFmtId="172" fontId="14" fillId="0" borderId="16" xfId="0" applyNumberFormat="1" applyFont="1" applyBorder="1" applyAlignment="1" quotePrefix="1">
      <alignment horizontal="right"/>
    </xf>
    <xf numFmtId="172" fontId="14" fillId="0" borderId="16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/>
    </xf>
    <xf numFmtId="3" fontId="12" fillId="0" borderId="17" xfId="0" applyNumberFormat="1" applyFont="1" applyBorder="1" applyAlignment="1" quotePrefix="1">
      <alignment horizontal="right"/>
    </xf>
    <xf numFmtId="3" fontId="12" fillId="0" borderId="0" xfId="0" applyNumberFormat="1" applyFont="1" applyBorder="1" applyAlignment="1" quotePrefix="1">
      <alignment horizontal="right"/>
    </xf>
    <xf numFmtId="3" fontId="12" fillId="0" borderId="16" xfId="0" applyNumberFormat="1" applyFont="1" applyBorder="1" applyAlignment="1" quotePrefix="1">
      <alignment horizontal="right"/>
    </xf>
    <xf numFmtId="3" fontId="11" fillId="0" borderId="17" xfId="0" applyNumberFormat="1" applyFont="1" applyBorder="1" applyAlignment="1">
      <alignment/>
    </xf>
    <xf numFmtId="3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3" fontId="11" fillId="0" borderId="80" xfId="0" applyNumberFormat="1" applyFont="1" applyBorder="1" applyAlignment="1">
      <alignment/>
    </xf>
    <xf numFmtId="3" fontId="11" fillId="0" borderId="0" xfId="0" applyNumberFormat="1" applyFont="1" applyBorder="1" applyAlignment="1" quotePrefix="1">
      <alignment horizontal="right"/>
    </xf>
    <xf numFmtId="3" fontId="12" fillId="0" borderId="0" xfId="0" applyNumberFormat="1" applyFont="1" applyBorder="1" applyAlignment="1">
      <alignment/>
    </xf>
    <xf numFmtId="3" fontId="11" fillId="0" borderId="17" xfId="0" applyNumberFormat="1" applyFont="1" applyBorder="1" applyAlignment="1" quotePrefix="1">
      <alignment horizontal="right"/>
    </xf>
    <xf numFmtId="3" fontId="11" fillId="0" borderId="16" xfId="0" applyNumberFormat="1" applyFont="1" applyBorder="1" applyAlignment="1" quotePrefix="1">
      <alignment horizontal="right"/>
    </xf>
    <xf numFmtId="3" fontId="11" fillId="0" borderId="16" xfId="0" applyNumberFormat="1" applyFont="1" applyBorder="1" applyAlignment="1" quotePrefix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 horizontal="right"/>
    </xf>
    <xf numFmtId="3" fontId="12" fillId="0" borderId="18" xfId="0" applyNumberFormat="1" applyFont="1" applyFill="1" applyBorder="1" applyAlignment="1">
      <alignment/>
    </xf>
    <xf numFmtId="3" fontId="12" fillId="0" borderId="53" xfId="0" applyNumberFormat="1" applyFont="1" applyFill="1" applyBorder="1" applyAlignment="1" quotePrefix="1">
      <alignment horizontal="right"/>
    </xf>
    <xf numFmtId="3" fontId="12" fillId="0" borderId="54" xfId="0" applyNumberFormat="1" applyFont="1" applyFill="1" applyBorder="1" applyAlignment="1" quotePrefix="1">
      <alignment horizontal="right"/>
    </xf>
    <xf numFmtId="3" fontId="12" fillId="0" borderId="17" xfId="0" applyNumberFormat="1" applyFont="1" applyFill="1" applyBorder="1" applyAlignment="1" quotePrefix="1">
      <alignment horizontal="right"/>
    </xf>
    <xf numFmtId="3" fontId="12" fillId="0" borderId="0" xfId="0" applyNumberFormat="1" applyFont="1" applyFill="1" applyBorder="1" applyAlignment="1" quotePrefix="1">
      <alignment horizontal="right"/>
    </xf>
    <xf numFmtId="3" fontId="12" fillId="0" borderId="16" xfId="0" applyNumberFormat="1" applyFont="1" applyFill="1" applyBorder="1" applyAlignment="1" quotePrefix="1">
      <alignment horizontal="right"/>
    </xf>
    <xf numFmtId="3" fontId="11" fillId="0" borderId="17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36" xfId="0" applyNumberFormat="1" applyFont="1" applyBorder="1" applyAlignment="1" quotePrefix="1">
      <alignment horizontal="right"/>
    </xf>
    <xf numFmtId="3" fontId="12" fillId="0" borderId="80" xfId="0" applyNumberFormat="1" applyFont="1" applyBorder="1" applyAlignment="1" quotePrefix="1">
      <alignment horizontal="right"/>
    </xf>
    <xf numFmtId="3" fontId="11" fillId="0" borderId="17" xfId="0" applyNumberFormat="1" applyFont="1" applyFill="1" applyBorder="1" applyAlignment="1" quotePrefix="1">
      <alignment horizontal="right"/>
    </xf>
    <xf numFmtId="3" fontId="11" fillId="0" borderId="16" xfId="0" applyNumberFormat="1" applyFont="1" applyFill="1" applyBorder="1" applyAlignment="1" quotePrefix="1">
      <alignment horizontal="right"/>
    </xf>
    <xf numFmtId="0" fontId="11" fillId="0" borderId="17" xfId="0" applyFont="1" applyBorder="1" applyAlignment="1">
      <alignment/>
    </xf>
    <xf numFmtId="0" fontId="11" fillId="0" borderId="16" xfId="0" applyFont="1" applyBorder="1" applyAlignment="1">
      <alignment/>
    </xf>
    <xf numFmtId="3" fontId="43" fillId="0" borderId="0" xfId="0" applyNumberFormat="1" applyFont="1" applyAlignment="1">
      <alignment horizontal="right"/>
    </xf>
    <xf numFmtId="1" fontId="29" fillId="0" borderId="17" xfId="0" applyNumberFormat="1" applyFont="1" applyBorder="1" applyAlignment="1" quotePrefix="1">
      <alignment horizontal="right"/>
    </xf>
    <xf numFmtId="172" fontId="37" fillId="0" borderId="31" xfId="0" applyNumberFormat="1" applyFont="1" applyBorder="1" applyAlignment="1">
      <alignment/>
    </xf>
    <xf numFmtId="2" fontId="29" fillId="0" borderId="17" xfId="0" applyNumberFormat="1" applyFont="1" applyBorder="1" applyAlignment="1" quotePrefix="1">
      <alignment horizontal="right"/>
    </xf>
    <xf numFmtId="2" fontId="29" fillId="0" borderId="16" xfId="0" applyNumberFormat="1" applyFont="1" applyBorder="1" applyAlignment="1" quotePrefix="1">
      <alignment horizontal="right"/>
    </xf>
    <xf numFmtId="1" fontId="29" fillId="0" borderId="16" xfId="0" applyNumberFormat="1" applyFont="1" applyBorder="1" applyAlignment="1" quotePrefix="1">
      <alignment horizontal="right"/>
    </xf>
    <xf numFmtId="3" fontId="29" fillId="0" borderId="0" xfId="0" applyNumberFormat="1" applyFont="1" applyFill="1" applyBorder="1" applyAlignment="1" quotePrefix="1">
      <alignment horizontal="right"/>
    </xf>
    <xf numFmtId="172" fontId="29" fillId="0" borderId="16" xfId="0" applyNumberFormat="1" applyFont="1" applyBorder="1" applyAlignment="1" quotePrefix="1">
      <alignment horizontal="right"/>
    </xf>
    <xf numFmtId="3" fontId="37" fillId="0" borderId="13" xfId="0" applyNumberFormat="1" applyFont="1" applyBorder="1" applyAlignment="1">
      <alignment horizontal="right"/>
    </xf>
    <xf numFmtId="3" fontId="37" fillId="0" borderId="19" xfId="0" applyNumberFormat="1" applyFont="1" applyBorder="1" applyAlignment="1">
      <alignment horizontal="right"/>
    </xf>
    <xf numFmtId="3" fontId="37" fillId="0" borderId="53" xfId="0" applyNumberFormat="1" applyFont="1" applyBorder="1" applyAlignment="1">
      <alignment horizontal="right"/>
    </xf>
    <xf numFmtId="3" fontId="37" fillId="0" borderId="17" xfId="0" applyNumberFormat="1" applyFont="1" applyBorder="1" applyAlignment="1">
      <alignment horizontal="right"/>
    </xf>
    <xf numFmtId="0" fontId="29" fillId="0" borderId="16" xfId="0" applyFont="1" applyBorder="1" applyAlignment="1">
      <alignment horizontal="right"/>
    </xf>
    <xf numFmtId="0" fontId="37" fillId="0" borderId="16" xfId="0" applyFont="1" applyBorder="1" applyAlignment="1">
      <alignment horizontal="right"/>
    </xf>
    <xf numFmtId="0" fontId="14" fillId="0" borderId="17" xfId="0" applyFont="1" applyBorder="1" applyAlignment="1" quotePrefix="1">
      <alignment horizontal="right"/>
    </xf>
    <xf numFmtId="0" fontId="14" fillId="0" borderId="16" xfId="0" applyFont="1" applyBorder="1" applyAlignment="1" quotePrefix="1">
      <alignment horizontal="right"/>
    </xf>
    <xf numFmtId="3" fontId="14" fillId="0" borderId="0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10" fillId="0" borderId="53" xfId="0" applyFont="1" applyBorder="1" applyAlignment="1" quotePrefix="1">
      <alignment horizontal="right"/>
    </xf>
    <xf numFmtId="0" fontId="10" fillId="0" borderId="54" xfId="0" applyFont="1" applyBorder="1" applyAlignment="1" quotePrefix="1">
      <alignment horizontal="right"/>
    </xf>
    <xf numFmtId="1" fontId="37" fillId="0" borderId="13" xfId="0" applyNumberFormat="1" applyFont="1" applyBorder="1" applyAlignment="1">
      <alignment/>
    </xf>
    <xf numFmtId="1" fontId="29" fillId="0" borderId="16" xfId="0" applyNumberFormat="1" applyFont="1" applyBorder="1" applyAlignment="1">
      <alignment horizontal="right"/>
    </xf>
    <xf numFmtId="172" fontId="30" fillId="0" borderId="16" xfId="0" applyNumberFormat="1" applyFont="1" applyBorder="1" applyAlignment="1" quotePrefix="1">
      <alignment horizontal="right"/>
    </xf>
    <xf numFmtId="0" fontId="30" fillId="0" borderId="17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3" fontId="30" fillId="0" borderId="49" xfId="0" applyNumberFormat="1" applyFont="1" applyFill="1" applyBorder="1" applyAlignment="1" quotePrefix="1">
      <alignment horizontal="right"/>
    </xf>
    <xf numFmtId="3" fontId="30" fillId="0" borderId="36" xfId="0" applyNumberFormat="1" applyFont="1" applyFill="1" applyBorder="1" applyAlignment="1">
      <alignment horizontal="right"/>
    </xf>
    <xf numFmtId="3" fontId="30" fillId="0" borderId="80" xfId="0" applyNumberFormat="1" applyFont="1" applyFill="1" applyBorder="1" applyAlignment="1" quotePrefix="1">
      <alignment horizontal="right"/>
    </xf>
    <xf numFmtId="1" fontId="37" fillId="0" borderId="54" xfId="0" applyNumberFormat="1" applyFont="1" applyBorder="1" applyAlignment="1">
      <alignment horizontal="right"/>
    </xf>
    <xf numFmtId="1" fontId="37" fillId="0" borderId="16" xfId="0" applyNumberFormat="1" applyFont="1" applyBorder="1" applyAlignment="1">
      <alignment horizontal="right"/>
    </xf>
    <xf numFmtId="1" fontId="29" fillId="0" borderId="8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172" fontId="37" fillId="0" borderId="19" xfId="0" applyNumberFormat="1" applyFont="1" applyBorder="1" applyAlignment="1">
      <alignment/>
    </xf>
    <xf numFmtId="172" fontId="37" fillId="0" borderId="18" xfId="0" applyNumberFormat="1" applyFont="1" applyBorder="1" applyAlignment="1">
      <alignment horizontal="right"/>
    </xf>
    <xf numFmtId="172" fontId="29" fillId="0" borderId="0" xfId="0" applyNumberFormat="1" applyFont="1" applyBorder="1" applyAlignment="1">
      <alignment horizontal="right"/>
    </xf>
    <xf numFmtId="172" fontId="37" fillId="0" borderId="0" xfId="0" applyNumberFormat="1" applyFont="1" applyBorder="1" applyAlignment="1">
      <alignment horizontal="right"/>
    </xf>
    <xf numFmtId="172" fontId="48" fillId="0" borderId="18" xfId="0" applyNumberFormat="1" applyFont="1" applyBorder="1" applyAlignment="1">
      <alignment/>
    </xf>
    <xf numFmtId="3" fontId="26" fillId="0" borderId="49" xfId="0" applyNumberFormat="1" applyFont="1" applyBorder="1" applyAlignment="1" quotePrefix="1">
      <alignment horizontal="right"/>
    </xf>
    <xf numFmtId="3" fontId="26" fillId="0" borderId="80" xfId="0" applyNumberFormat="1" applyFont="1" applyBorder="1" applyAlignment="1" quotePrefix="1">
      <alignment horizontal="right"/>
    </xf>
    <xf numFmtId="3" fontId="65" fillId="0" borderId="17" xfId="0" applyNumberFormat="1" applyFont="1" applyBorder="1" applyAlignment="1" quotePrefix="1">
      <alignment/>
    </xf>
    <xf numFmtId="3" fontId="65" fillId="0" borderId="0" xfId="0" applyNumberFormat="1" applyFont="1" applyBorder="1" applyAlignment="1" quotePrefix="1">
      <alignment horizontal="right"/>
    </xf>
    <xf numFmtId="3" fontId="65" fillId="0" borderId="31" xfId="0" applyNumberFormat="1" applyFont="1" applyBorder="1" applyAlignment="1" quotePrefix="1">
      <alignment horizontal="right"/>
    </xf>
    <xf numFmtId="3" fontId="65" fillId="0" borderId="53" xfId="0" applyNumberFormat="1" applyFont="1" applyBorder="1" applyAlignment="1" quotePrefix="1">
      <alignment horizontal="right"/>
    </xf>
    <xf numFmtId="3" fontId="65" fillId="0" borderId="17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/>
    </xf>
    <xf numFmtId="0" fontId="19" fillId="0" borderId="48" xfId="0" applyFont="1" applyBorder="1" applyAlignment="1">
      <alignment/>
    </xf>
    <xf numFmtId="0" fontId="20" fillId="0" borderId="48" xfId="0" applyFont="1" applyBorder="1" applyAlignment="1">
      <alignment/>
    </xf>
    <xf numFmtId="177" fontId="29" fillId="0" borderId="17" xfId="0" applyNumberFormat="1" applyFont="1" applyBorder="1" applyAlignment="1" quotePrefix="1">
      <alignment horizontal="right"/>
    </xf>
    <xf numFmtId="177" fontId="37" fillId="0" borderId="0" xfId="0" applyNumberFormat="1" applyFont="1" applyBorder="1" applyAlignment="1" quotePrefix="1">
      <alignment horizontal="right"/>
    </xf>
    <xf numFmtId="177" fontId="29" fillId="0" borderId="0" xfId="0" applyNumberFormat="1" applyFont="1" applyBorder="1" applyAlignment="1">
      <alignment/>
    </xf>
    <xf numFmtId="177" fontId="37" fillId="0" borderId="0" xfId="0" applyNumberFormat="1" applyFont="1" applyBorder="1" applyAlignment="1">
      <alignment/>
    </xf>
    <xf numFmtId="177" fontId="37" fillId="0" borderId="36" xfId="0" applyNumberFormat="1" applyFont="1" applyBorder="1" applyAlignment="1" quotePrefix="1">
      <alignment horizontal="right"/>
    </xf>
    <xf numFmtId="0" fontId="40" fillId="0" borderId="11" xfId="0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39" fillId="0" borderId="12" xfId="0" applyFont="1" applyBorder="1" applyAlignment="1">
      <alignment/>
    </xf>
    <xf numFmtId="0" fontId="29" fillId="0" borderId="0" xfId="0" applyFont="1" applyFill="1" applyBorder="1" applyAlignment="1">
      <alignment/>
    </xf>
    <xf numFmtId="177" fontId="37" fillId="0" borderId="31" xfId="0" applyNumberFormat="1" applyFont="1" applyBorder="1" applyAlignment="1" quotePrefix="1">
      <alignment horizontal="right"/>
    </xf>
    <xf numFmtId="3" fontId="66" fillId="0" borderId="14" xfId="0" applyNumberFormat="1" applyFont="1" applyFill="1" applyBorder="1" applyAlignment="1" quotePrefix="1">
      <alignment horizontal="right"/>
    </xf>
    <xf numFmtId="3" fontId="65" fillId="0" borderId="17" xfId="0" applyNumberFormat="1" applyFont="1" applyFill="1" applyBorder="1" applyAlignment="1">
      <alignment/>
    </xf>
    <xf numFmtId="3" fontId="65" fillId="0" borderId="0" xfId="0" applyNumberFormat="1" applyFont="1" applyFill="1" applyBorder="1" applyAlignment="1">
      <alignment horizontal="right"/>
    </xf>
    <xf numFmtId="3" fontId="65" fillId="0" borderId="16" xfId="0" applyNumberFormat="1" applyFont="1" applyFill="1" applyBorder="1" applyAlignment="1">
      <alignment horizontal="right"/>
    </xf>
    <xf numFmtId="3" fontId="66" fillId="0" borderId="17" xfId="0" applyNumberFormat="1" applyFont="1" applyFill="1" applyBorder="1" applyAlignment="1">
      <alignment horizontal="right"/>
    </xf>
    <xf numFmtId="3" fontId="66" fillId="0" borderId="16" xfId="0" applyNumberFormat="1" applyFont="1" applyFill="1" applyBorder="1" applyAlignment="1">
      <alignment horizontal="right"/>
    </xf>
    <xf numFmtId="3" fontId="66" fillId="0" borderId="17" xfId="0" applyNumberFormat="1" applyFont="1" applyFill="1" applyBorder="1" applyAlignment="1">
      <alignment/>
    </xf>
    <xf numFmtId="3" fontId="43" fillId="0" borderId="65" xfId="44" applyNumberFormat="1" applyFont="1" applyBorder="1" applyAlignment="1" quotePrefix="1">
      <alignment horizontal="right"/>
    </xf>
    <xf numFmtId="3" fontId="12" fillId="0" borderId="31" xfId="0" applyNumberFormat="1" applyFont="1" applyBorder="1" applyAlignment="1">
      <alignment horizontal="right"/>
    </xf>
    <xf numFmtId="3" fontId="72" fillId="0" borderId="0" xfId="0" applyNumberFormat="1" applyFont="1" applyBorder="1" applyAlignment="1">
      <alignment/>
    </xf>
    <xf numFmtId="3" fontId="34" fillId="0" borderId="0" xfId="44" applyNumberFormat="1" applyFont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3" fontId="34" fillId="0" borderId="0" xfId="44" applyNumberFormat="1" applyFont="1" applyFill="1" applyBorder="1" applyAlignment="1" quotePrefix="1">
      <alignment horizontal="right"/>
    </xf>
    <xf numFmtId="3" fontId="35" fillId="0" borderId="0" xfId="44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3" fontId="31" fillId="0" borderId="64" xfId="0" applyNumberFormat="1" applyFont="1" applyBorder="1" applyAlignment="1">
      <alignment/>
    </xf>
    <xf numFmtId="3" fontId="30" fillId="0" borderId="47" xfId="44" applyNumberFormat="1" applyFont="1" applyBorder="1" applyAlignment="1">
      <alignment horizontal="right"/>
    </xf>
    <xf numFmtId="3" fontId="48" fillId="0" borderId="65" xfId="44" applyNumberFormat="1" applyFont="1" applyBorder="1" applyAlignment="1">
      <alignment horizontal="right"/>
    </xf>
    <xf numFmtId="3" fontId="30" fillId="0" borderId="47" xfId="44" applyNumberFormat="1" applyFont="1" applyBorder="1" applyAlignment="1" quotePrefix="1">
      <alignment horizontal="right"/>
    </xf>
    <xf numFmtId="3" fontId="27" fillId="0" borderId="33" xfId="0" applyNumberFormat="1" applyFont="1" applyBorder="1" applyAlignment="1">
      <alignment horizontal="left"/>
    </xf>
    <xf numFmtId="3" fontId="60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 horizontal="center"/>
    </xf>
    <xf numFmtId="3" fontId="49" fillId="0" borderId="14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 horizontal="right"/>
    </xf>
    <xf numFmtId="3" fontId="9" fillId="0" borderId="0" xfId="0" applyNumberFormat="1" applyFont="1" applyBorder="1" applyAlignment="1">
      <alignment/>
    </xf>
    <xf numFmtId="0" fontId="14" fillId="0" borderId="22" xfId="0" applyFont="1" applyFill="1" applyBorder="1" applyAlignment="1">
      <alignment/>
    </xf>
    <xf numFmtId="3" fontId="14" fillId="0" borderId="12" xfId="0" applyNumberFormat="1" applyFont="1" applyBorder="1" applyAlignment="1" quotePrefix="1">
      <alignment horizontal="right"/>
    </xf>
    <xf numFmtId="4" fontId="14" fillId="0" borderId="29" xfId="0" applyNumberFormat="1" applyFont="1" applyBorder="1" applyAlignment="1" quotePrefix="1">
      <alignment horizontal="right"/>
    </xf>
    <xf numFmtId="4" fontId="14" fillId="0" borderId="85" xfId="0" applyNumberFormat="1" applyFont="1" applyBorder="1" applyAlignment="1" quotePrefix="1">
      <alignment horizontal="right"/>
    </xf>
    <xf numFmtId="3" fontId="74" fillId="0" borderId="43" xfId="0" applyNumberFormat="1" applyFont="1" applyBorder="1" applyAlignment="1" quotePrefix="1">
      <alignment horizontal="right"/>
    </xf>
    <xf numFmtId="3" fontId="74" fillId="0" borderId="11" xfId="0" applyNumberFormat="1" applyFont="1" applyBorder="1" applyAlignment="1">
      <alignment horizontal="right"/>
    </xf>
    <xf numFmtId="3" fontId="65" fillId="0" borderId="11" xfId="0" applyNumberFormat="1" applyFont="1" applyBorder="1" applyAlignment="1">
      <alignment horizontal="right"/>
    </xf>
    <xf numFmtId="3" fontId="65" fillId="0" borderId="31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 horizontal="right"/>
    </xf>
    <xf numFmtId="3" fontId="74" fillId="0" borderId="31" xfId="0" applyNumberFormat="1" applyFont="1" applyBorder="1" applyAlignment="1">
      <alignment horizontal="right"/>
    </xf>
    <xf numFmtId="3" fontId="74" fillId="0" borderId="32" xfId="0" applyNumberFormat="1" applyFont="1" applyBorder="1" applyAlignment="1">
      <alignment horizontal="right"/>
    </xf>
    <xf numFmtId="3" fontId="74" fillId="0" borderId="33" xfId="0" applyNumberFormat="1" applyFont="1" applyBorder="1" applyAlignment="1">
      <alignment horizontal="right"/>
    </xf>
    <xf numFmtId="3" fontId="74" fillId="0" borderId="36" xfId="0" applyNumberFormat="1" applyFont="1" applyBorder="1" applyAlignment="1">
      <alignment horizontal="right"/>
    </xf>
    <xf numFmtId="0" fontId="34" fillId="0" borderId="17" xfId="0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0" fontId="34" fillId="0" borderId="16" xfId="0" applyFont="1" applyFill="1" applyBorder="1" applyAlignment="1">
      <alignment horizontal="right"/>
    </xf>
    <xf numFmtId="0" fontId="35" fillId="0" borderId="1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3" fontId="32" fillId="0" borderId="13" xfId="0" applyNumberFormat="1" applyFont="1" applyBorder="1" applyAlignment="1">
      <alignment horizontal="center"/>
    </xf>
    <xf numFmtId="3" fontId="32" fillId="0" borderId="21" xfId="0" applyNumberFormat="1" applyFont="1" applyBorder="1" applyAlignment="1">
      <alignment/>
    </xf>
    <xf numFmtId="3" fontId="31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32" fillId="0" borderId="85" xfId="0" applyNumberFormat="1" applyFont="1" applyBorder="1" applyAlignment="1">
      <alignment horizontal="right"/>
    </xf>
    <xf numFmtId="3" fontId="30" fillId="0" borderId="14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/>
    </xf>
    <xf numFmtId="3" fontId="30" fillId="0" borderId="0" xfId="0" applyNumberFormat="1" applyFont="1" applyFill="1" applyAlignment="1">
      <alignment horizontal="right"/>
    </xf>
    <xf numFmtId="3" fontId="48" fillId="33" borderId="0" xfId="0" applyNumberFormat="1" applyFont="1" applyFill="1" applyBorder="1" applyAlignment="1">
      <alignment/>
    </xf>
    <xf numFmtId="3" fontId="48" fillId="34" borderId="48" xfId="0" applyNumberFormat="1" applyFont="1" applyFill="1" applyBorder="1" applyAlignment="1">
      <alignment/>
    </xf>
    <xf numFmtId="3" fontId="30" fillId="0" borderId="48" xfId="0" applyNumberFormat="1" applyFont="1" applyBorder="1" applyAlignment="1">
      <alignment/>
    </xf>
    <xf numFmtId="3" fontId="30" fillId="34" borderId="48" xfId="0" applyNumberFormat="1" applyFont="1" applyFill="1" applyBorder="1" applyAlignment="1">
      <alignment/>
    </xf>
    <xf numFmtId="0" fontId="34" fillId="0" borderId="17" xfId="0" applyFont="1" applyFill="1" applyBorder="1" applyAlignment="1" quotePrefix="1">
      <alignment horizontal="right"/>
    </xf>
    <xf numFmtId="0" fontId="34" fillId="0" borderId="16" xfId="0" applyFont="1" applyFill="1" applyBorder="1" applyAlignment="1" quotePrefix="1">
      <alignment horizontal="right"/>
    </xf>
    <xf numFmtId="3" fontId="35" fillId="0" borderId="16" xfId="0" applyNumberFormat="1" applyFont="1" applyFill="1" applyBorder="1" applyAlignment="1" quotePrefix="1">
      <alignment horizontal="right"/>
    </xf>
    <xf numFmtId="3" fontId="35" fillId="0" borderId="31" xfId="0" applyNumberFormat="1" applyFont="1" applyFill="1" applyBorder="1" applyAlignment="1" quotePrefix="1">
      <alignment horizontal="right"/>
    </xf>
    <xf numFmtId="3" fontId="35" fillId="0" borderId="54" xfId="0" applyNumberFormat="1" applyFont="1" applyFill="1" applyBorder="1" applyAlignment="1" quotePrefix="1">
      <alignment horizontal="right"/>
    </xf>
    <xf numFmtId="172" fontId="48" fillId="0" borderId="13" xfId="0" applyNumberFormat="1" applyFont="1" applyBorder="1" applyAlignment="1">
      <alignment/>
    </xf>
    <xf numFmtId="0" fontId="11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0" fontId="32" fillId="33" borderId="0" xfId="0" applyFont="1" applyFill="1" applyBorder="1" applyAlignment="1">
      <alignment horizontal="left" vertical="center" wrapText="1"/>
    </xf>
    <xf numFmtId="3" fontId="0" fillId="33" borderId="0" xfId="0" applyNumberFormat="1" applyFill="1" applyBorder="1" applyAlignment="1">
      <alignment/>
    </xf>
    <xf numFmtId="0" fontId="31" fillId="33" borderId="0" xfId="0" applyFont="1" applyFill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right"/>
    </xf>
    <xf numFmtId="0" fontId="32" fillId="34" borderId="0" xfId="0" applyFont="1" applyFill="1" applyBorder="1" applyAlignment="1">
      <alignment/>
    </xf>
    <xf numFmtId="0" fontId="33" fillId="0" borderId="0" xfId="0" applyFont="1" applyBorder="1" applyAlignment="1">
      <alignment wrapText="1"/>
    </xf>
    <xf numFmtId="4" fontId="34" fillId="0" borderId="76" xfId="0" applyNumberFormat="1" applyFont="1" applyBorder="1" applyAlignment="1">
      <alignment horizontal="right"/>
    </xf>
    <xf numFmtId="4" fontId="34" fillId="0" borderId="14" xfId="0" applyNumberFormat="1" applyFont="1" applyBorder="1" applyAlignment="1">
      <alignment horizontal="right"/>
    </xf>
    <xf numFmtId="4" fontId="34" fillId="0" borderId="75" xfId="0" applyNumberFormat="1" applyFont="1" applyBorder="1" applyAlignment="1">
      <alignment horizontal="right"/>
    </xf>
    <xf numFmtId="4" fontId="34" fillId="0" borderId="75" xfId="0" applyNumberFormat="1" applyFont="1" applyBorder="1" applyAlignment="1">
      <alignment/>
    </xf>
    <xf numFmtId="0" fontId="41" fillId="0" borderId="55" xfId="0" applyFont="1" applyFill="1" applyBorder="1" applyAlignment="1">
      <alignment/>
    </xf>
    <xf numFmtId="0" fontId="34" fillId="0" borderId="33" xfId="0" applyFont="1" applyFill="1" applyBorder="1" applyAlignment="1">
      <alignment/>
    </xf>
    <xf numFmtId="0" fontId="34" fillId="0" borderId="59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39" xfId="0" applyNumberFormat="1" applyFont="1" applyFill="1" applyBorder="1" applyAlignment="1">
      <alignment horizontal="right"/>
    </xf>
    <xf numFmtId="3" fontId="31" fillId="0" borderId="0" xfId="0" applyNumberFormat="1" applyFont="1" applyFill="1" applyAlignment="1">
      <alignment/>
    </xf>
    <xf numFmtId="3" fontId="31" fillId="0" borderId="10" xfId="0" applyNumberFormat="1" applyFont="1" applyFill="1" applyBorder="1" applyAlignment="1" quotePrefix="1">
      <alignment horizontal="right"/>
    </xf>
    <xf numFmtId="3" fontId="31" fillId="0" borderId="47" xfId="0" applyNumberFormat="1" applyFont="1" applyFill="1" applyBorder="1" applyAlignment="1" quotePrefix="1">
      <alignment horizontal="right"/>
    </xf>
    <xf numFmtId="3" fontId="32" fillId="0" borderId="40" xfId="0" applyNumberFormat="1" applyFont="1" applyFill="1" applyBorder="1" applyAlignment="1" quotePrefix="1">
      <alignment horizontal="right"/>
    </xf>
    <xf numFmtId="0" fontId="10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4" fillId="0" borderId="55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98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115" xfId="0" applyFont="1" applyBorder="1" applyAlignment="1">
      <alignment/>
    </xf>
    <xf numFmtId="0" fontId="14" fillId="0" borderId="62" xfId="0" applyFont="1" applyBorder="1" applyAlignment="1">
      <alignment/>
    </xf>
    <xf numFmtId="0" fontId="10" fillId="0" borderId="13" xfId="0" applyFont="1" applyBorder="1" applyAlignment="1">
      <alignment horizontal="right"/>
    </xf>
    <xf numFmtId="0" fontId="10" fillId="0" borderId="61" xfId="0" applyFont="1" applyBorder="1" applyAlignment="1">
      <alignment/>
    </xf>
    <xf numFmtId="0" fontId="14" fillId="0" borderId="62" xfId="0" applyFont="1" applyBorder="1" applyAlignment="1">
      <alignment horizontal="left"/>
    </xf>
    <xf numFmtId="0" fontId="14" fillId="0" borderId="81" xfId="0" applyFont="1" applyBorder="1" applyAlignment="1">
      <alignment horizontal="left"/>
    </xf>
    <xf numFmtId="0" fontId="10" fillId="0" borderId="62" xfId="0" applyFont="1" applyBorder="1" applyAlignment="1">
      <alignment/>
    </xf>
    <xf numFmtId="0" fontId="14" fillId="0" borderId="116" xfId="0" applyFont="1" applyBorder="1" applyAlignment="1">
      <alignment/>
    </xf>
    <xf numFmtId="4" fontId="10" fillId="0" borderId="80" xfId="0" applyNumberFormat="1" applyFont="1" applyBorder="1" applyAlignment="1">
      <alignment horizontal="right"/>
    </xf>
    <xf numFmtId="3" fontId="10" fillId="0" borderId="80" xfId="0" applyNumberFormat="1" applyFont="1" applyBorder="1" applyAlignment="1">
      <alignment horizontal="right"/>
    </xf>
    <xf numFmtId="0" fontId="10" fillId="0" borderId="100" xfId="0" applyFont="1" applyBorder="1" applyAlignment="1" quotePrefix="1">
      <alignment horizontal="right"/>
    </xf>
    <xf numFmtId="2" fontId="10" fillId="0" borderId="100" xfId="0" applyNumberFormat="1" applyFont="1" applyBorder="1" applyAlignment="1" quotePrefix="1">
      <alignment horizontal="right"/>
    </xf>
    <xf numFmtId="4" fontId="10" fillId="0" borderId="100" xfId="0" applyNumberFormat="1" applyFont="1" applyBorder="1" applyAlignment="1" quotePrefix="1">
      <alignment horizontal="right"/>
    </xf>
    <xf numFmtId="0" fontId="10" fillId="0" borderId="59" xfId="0" applyFont="1" applyBorder="1" applyAlignment="1">
      <alignment/>
    </xf>
    <xf numFmtId="3" fontId="32" fillId="0" borderId="13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3" fontId="32" fillId="0" borderId="19" xfId="0" applyNumberFormat="1" applyFont="1" applyFill="1" applyBorder="1" applyAlignment="1">
      <alignment horizontal="right"/>
    </xf>
    <xf numFmtId="3" fontId="32" fillId="0" borderId="13" xfId="0" applyNumberFormat="1" applyFont="1" applyBorder="1" applyAlignment="1">
      <alignment horizontal="right"/>
    </xf>
    <xf numFmtId="3" fontId="32" fillId="0" borderId="19" xfId="0" applyNumberFormat="1" applyFont="1" applyBorder="1" applyAlignment="1">
      <alignment horizontal="right"/>
    </xf>
    <xf numFmtId="3" fontId="31" fillId="0" borderId="17" xfId="0" applyNumberFormat="1" applyFont="1" applyFill="1" applyBorder="1" applyAlignment="1">
      <alignment/>
    </xf>
    <xf numFmtId="3" fontId="32" fillId="0" borderId="17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1" fillId="0" borderId="49" xfId="0" applyNumberFormat="1" applyFont="1" applyFill="1" applyBorder="1" applyAlignment="1">
      <alignment/>
    </xf>
    <xf numFmtId="3" fontId="31" fillId="0" borderId="36" xfId="0" applyNumberFormat="1" applyFont="1" applyFill="1" applyBorder="1" applyAlignment="1">
      <alignment/>
    </xf>
    <xf numFmtId="176" fontId="46" fillId="0" borderId="0" xfId="0" applyNumberFormat="1" applyFont="1" applyFill="1" applyBorder="1" applyAlignment="1">
      <alignment wrapText="1"/>
    </xf>
    <xf numFmtId="176" fontId="31" fillId="0" borderId="0" xfId="0" applyNumberFormat="1" applyFont="1" applyFill="1" applyBorder="1" applyAlignment="1">
      <alignment wrapText="1"/>
    </xf>
    <xf numFmtId="176" fontId="32" fillId="0" borderId="0" xfId="0" applyNumberFormat="1" applyFont="1" applyFill="1" applyBorder="1" applyAlignment="1">
      <alignment horizontal="center" wrapText="1"/>
    </xf>
    <xf numFmtId="0" fontId="60" fillId="0" borderId="0" xfId="0" applyFont="1" applyBorder="1" applyAlignment="1">
      <alignment horizontal="right" wrapText="1"/>
    </xf>
    <xf numFmtId="176" fontId="60" fillId="0" borderId="0" xfId="0" applyNumberFormat="1" applyFont="1" applyAlignment="1">
      <alignment horizontal="right" wrapText="1"/>
    </xf>
    <xf numFmtId="3" fontId="41" fillId="0" borderId="11" xfId="0" applyNumberFormat="1" applyFont="1" applyBorder="1" applyAlignment="1">
      <alignment horizontal="center"/>
    </xf>
    <xf numFmtId="3" fontId="35" fillId="0" borderId="14" xfId="0" applyNumberFormat="1" applyFont="1" applyBorder="1" applyAlignment="1">
      <alignment horizontal="center"/>
    </xf>
    <xf numFmtId="3" fontId="34" fillId="0" borderId="0" xfId="0" applyNumberFormat="1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3" fontId="35" fillId="0" borderId="60" xfId="0" applyNumberFormat="1" applyFont="1" applyBorder="1" applyAlignment="1">
      <alignment horizontal="right"/>
    </xf>
    <xf numFmtId="3" fontId="35" fillId="0" borderId="60" xfId="44" applyNumberFormat="1" applyFont="1" applyBorder="1" applyAlignment="1">
      <alignment horizontal="right"/>
    </xf>
    <xf numFmtId="3" fontId="16" fillId="0" borderId="102" xfId="0" applyNumberFormat="1" applyFont="1" applyBorder="1" applyAlignment="1" quotePrefix="1">
      <alignment horizontal="right"/>
    </xf>
    <xf numFmtId="3" fontId="16" fillId="0" borderId="16" xfId="0" applyNumberFormat="1" applyFont="1" applyBorder="1" applyAlignment="1" quotePrefix="1">
      <alignment horizontal="right"/>
    </xf>
    <xf numFmtId="3" fontId="16" fillId="0" borderId="103" xfId="0" applyNumberFormat="1" applyFont="1" applyBorder="1" applyAlignment="1" quotePrefix="1">
      <alignment horizontal="right"/>
    </xf>
    <xf numFmtId="3" fontId="34" fillId="0" borderId="103" xfId="44" applyNumberFormat="1" applyFont="1" applyBorder="1" applyAlignment="1">
      <alignment horizontal="right"/>
    </xf>
    <xf numFmtId="3" fontId="34" fillId="0" borderId="16" xfId="44" applyNumberFormat="1" applyFont="1" applyBorder="1" applyAlignment="1">
      <alignment horizontal="right"/>
    </xf>
    <xf numFmtId="3" fontId="35" fillId="0" borderId="103" xfId="44" applyNumberFormat="1" applyFont="1" applyBorder="1" applyAlignment="1">
      <alignment horizontal="right"/>
    </xf>
    <xf numFmtId="3" fontId="35" fillId="0" borderId="16" xfId="44" applyNumberFormat="1" applyFont="1" applyBorder="1" applyAlignment="1">
      <alignment horizontal="right"/>
    </xf>
    <xf numFmtId="3" fontId="34" fillId="0" borderId="103" xfId="44" applyNumberFormat="1" applyFont="1" applyBorder="1" applyAlignment="1" quotePrefix="1">
      <alignment horizontal="right"/>
    </xf>
    <xf numFmtId="3" fontId="34" fillId="0" borderId="16" xfId="44" applyNumberFormat="1" applyFont="1" applyBorder="1" applyAlignment="1" quotePrefix="1">
      <alignment horizontal="right"/>
    </xf>
    <xf numFmtId="3" fontId="35" fillId="0" borderId="103" xfId="0" applyNumberFormat="1" applyFont="1" applyBorder="1" applyAlignment="1" quotePrefix="1">
      <alignment horizontal="right"/>
    </xf>
    <xf numFmtId="3" fontId="35" fillId="0" borderId="103" xfId="0" applyNumberFormat="1" applyFont="1" applyBorder="1" applyAlignment="1">
      <alignment/>
    </xf>
    <xf numFmtId="3" fontId="35" fillId="0" borderId="103" xfId="44" applyNumberFormat="1" applyFont="1" applyBorder="1" applyAlignment="1" quotePrefix="1">
      <alignment horizontal="right"/>
    </xf>
    <xf numFmtId="3" fontId="34" fillId="0" borderId="82" xfId="0" applyNumberFormat="1" applyFont="1" applyBorder="1" applyAlignment="1">
      <alignment/>
    </xf>
    <xf numFmtId="3" fontId="34" fillId="0" borderId="82" xfId="44" applyNumberFormat="1" applyFont="1" applyBorder="1" applyAlignment="1">
      <alignment horizontal="right"/>
    </xf>
    <xf numFmtId="2" fontId="32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3" fontId="26" fillId="0" borderId="15" xfId="0" applyNumberFormat="1" applyFont="1" applyBorder="1" applyAlignment="1">
      <alignment/>
    </xf>
    <xf numFmtId="3" fontId="26" fillId="0" borderId="53" xfId="0" applyNumberFormat="1" applyFont="1" applyBorder="1" applyAlignment="1">
      <alignment horizontal="right"/>
    </xf>
    <xf numFmtId="172" fontId="26" fillId="0" borderId="31" xfId="0" applyNumberFormat="1" applyFont="1" applyBorder="1" applyAlignment="1">
      <alignment horizontal="right"/>
    </xf>
    <xf numFmtId="172" fontId="26" fillId="0" borderId="54" xfId="0" applyNumberFormat="1" applyFont="1" applyBorder="1" applyAlignment="1">
      <alignment horizontal="right"/>
    </xf>
    <xf numFmtId="172" fontId="26" fillId="0" borderId="32" xfId="0" applyNumberFormat="1" applyFont="1" applyBorder="1" applyAlignment="1">
      <alignment horizontal="right"/>
    </xf>
    <xf numFmtId="172" fontId="26" fillId="0" borderId="0" xfId="0" applyNumberFormat="1" applyFont="1" applyBorder="1" applyAlignment="1">
      <alignment horizontal="right"/>
    </xf>
    <xf numFmtId="172" fontId="25" fillId="0" borderId="16" xfId="0" applyNumberFormat="1" applyFont="1" applyBorder="1" applyAlignment="1" quotePrefix="1">
      <alignment horizontal="right"/>
    </xf>
    <xf numFmtId="172" fontId="26" fillId="0" borderId="39" xfId="0" applyNumberFormat="1" applyFont="1" applyBorder="1" applyAlignment="1">
      <alignment horizontal="right"/>
    </xf>
    <xf numFmtId="172" fontId="26" fillId="0" borderId="16" xfId="0" applyNumberFormat="1" applyFont="1" applyBorder="1" applyAlignment="1">
      <alignment horizontal="right"/>
    </xf>
    <xf numFmtId="172" fontId="26" fillId="0" borderId="0" xfId="0" applyNumberFormat="1" applyFont="1" applyBorder="1" applyAlignment="1" quotePrefix="1">
      <alignment horizontal="right"/>
    </xf>
    <xf numFmtId="172" fontId="26" fillId="0" borderId="16" xfId="0" applyNumberFormat="1" applyFont="1" applyBorder="1" applyAlignment="1" quotePrefix="1">
      <alignment horizontal="right"/>
    </xf>
    <xf numFmtId="3" fontId="25" fillId="0" borderId="13" xfId="0" applyNumberFormat="1" applyFont="1" applyBorder="1" applyAlignment="1">
      <alignment horizontal="right"/>
    </xf>
    <xf numFmtId="172" fontId="25" fillId="0" borderId="18" xfId="0" applyNumberFormat="1" applyFont="1" applyBorder="1" applyAlignment="1">
      <alignment horizontal="right"/>
    </xf>
    <xf numFmtId="172" fontId="25" fillId="0" borderId="19" xfId="0" applyNumberFormat="1" applyFont="1" applyBorder="1" applyAlignment="1">
      <alignment horizontal="right"/>
    </xf>
    <xf numFmtId="4" fontId="25" fillId="0" borderId="100" xfId="0" applyNumberFormat="1" applyFont="1" applyBorder="1" applyAlignment="1">
      <alignment/>
    </xf>
    <xf numFmtId="3" fontId="25" fillId="0" borderId="100" xfId="0" applyNumberFormat="1" applyFont="1" applyBorder="1" applyAlignment="1">
      <alignment/>
    </xf>
    <xf numFmtId="4" fontId="25" fillId="0" borderId="101" xfId="0" applyNumberFormat="1" applyFont="1" applyFill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20" fillId="0" borderId="43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/>
    </xf>
    <xf numFmtId="3" fontId="26" fillId="0" borderId="14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center"/>
    </xf>
    <xf numFmtId="3" fontId="26" fillId="0" borderId="14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/>
    </xf>
    <xf numFmtId="3" fontId="25" fillId="0" borderId="13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  <xf numFmtId="3" fontId="14" fillId="0" borderId="4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2" fillId="0" borderId="10" xfId="0" applyNumberFormat="1" applyFont="1" applyBorder="1" applyAlignment="1" quotePrefix="1">
      <alignment horizontal="right"/>
    </xf>
    <xf numFmtId="3" fontId="12" fillId="0" borderId="11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1" fillId="0" borderId="75" xfId="0" applyNumberFormat="1" applyFont="1" applyBorder="1" applyAlignment="1">
      <alignment/>
    </xf>
    <xf numFmtId="3" fontId="11" fillId="0" borderId="74" xfId="0" applyNumberFormat="1" applyFont="1" applyBorder="1" applyAlignment="1">
      <alignment/>
    </xf>
    <xf numFmtId="3" fontId="12" fillId="0" borderId="74" xfId="0" applyNumberFormat="1" applyFont="1" applyBorder="1" applyAlignment="1">
      <alignment horizontal="right"/>
    </xf>
    <xf numFmtId="3" fontId="12" fillId="0" borderId="75" xfId="0" applyNumberFormat="1" applyFont="1" applyBorder="1" applyAlignment="1">
      <alignment/>
    </xf>
    <xf numFmtId="3" fontId="15" fillId="0" borderId="76" xfId="0" applyNumberFormat="1" applyFont="1" applyBorder="1" applyAlignment="1">
      <alignment/>
    </xf>
    <xf numFmtId="3" fontId="12" fillId="0" borderId="73" xfId="0" applyNumberFormat="1" applyFont="1" applyBorder="1" applyAlignment="1">
      <alignment horizontal="right"/>
    </xf>
    <xf numFmtId="3" fontId="12" fillId="0" borderId="76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5" fillId="0" borderId="74" xfId="0" applyNumberFormat="1" applyFont="1" applyBorder="1" applyAlignment="1">
      <alignment/>
    </xf>
    <xf numFmtId="3" fontId="12" fillId="0" borderId="77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/>
    </xf>
    <xf numFmtId="3" fontId="72" fillId="0" borderId="30" xfId="44" applyNumberFormat="1" applyFont="1" applyBorder="1" applyAlignment="1" quotePrefix="1">
      <alignment horizontal="right"/>
    </xf>
    <xf numFmtId="3" fontId="72" fillId="0" borderId="30" xfId="44" applyNumberFormat="1" applyFont="1" applyBorder="1" applyAlignment="1">
      <alignment horizontal="right"/>
    </xf>
    <xf numFmtId="3" fontId="72" fillId="0" borderId="30" xfId="0" applyNumberFormat="1" applyFont="1" applyBorder="1" applyAlignment="1" quotePrefix="1">
      <alignment horizontal="right"/>
    </xf>
    <xf numFmtId="3" fontId="73" fillId="0" borderId="74" xfId="44" applyNumberFormat="1" applyFont="1" applyBorder="1" applyAlignment="1">
      <alignment horizontal="right"/>
    </xf>
    <xf numFmtId="3" fontId="32" fillId="0" borderId="0" xfId="0" applyNumberFormat="1" applyFont="1" applyFill="1" applyAlignment="1">
      <alignment/>
    </xf>
    <xf numFmtId="0" fontId="31" fillId="0" borderId="62" xfId="0" applyFont="1" applyBorder="1" applyAlignment="1">
      <alignment/>
    </xf>
    <xf numFmtId="0" fontId="37" fillId="0" borderId="11" xfId="0" applyFont="1" applyBorder="1" applyAlignment="1">
      <alignment/>
    </xf>
    <xf numFmtId="0" fontId="22" fillId="0" borderId="13" xfId="0" applyFont="1" applyBorder="1" applyAlignment="1">
      <alignment horizontal="center"/>
    </xf>
    <xf numFmtId="3" fontId="45" fillId="0" borderId="19" xfId="0" applyNumberFormat="1" applyFont="1" applyBorder="1" applyAlignment="1">
      <alignment horizontal="center"/>
    </xf>
    <xf numFmtId="3" fontId="45" fillId="0" borderId="46" xfId="0" applyNumberFormat="1" applyFont="1" applyBorder="1" applyAlignment="1">
      <alignment/>
    </xf>
    <xf numFmtId="3" fontId="33" fillId="0" borderId="48" xfId="0" applyNumberFormat="1" applyFont="1" applyBorder="1" applyAlignment="1">
      <alignment/>
    </xf>
    <xf numFmtId="3" fontId="45" fillId="0" borderId="48" xfId="0" applyNumberFormat="1" applyFont="1" applyBorder="1" applyAlignment="1">
      <alignment/>
    </xf>
    <xf numFmtId="0" fontId="24" fillId="0" borderId="48" xfId="0" applyFont="1" applyBorder="1" applyAlignment="1">
      <alignment/>
    </xf>
    <xf numFmtId="0" fontId="23" fillId="0" borderId="48" xfId="0" applyFont="1" applyBorder="1" applyAlignment="1">
      <alignment/>
    </xf>
    <xf numFmtId="3" fontId="33" fillId="0" borderId="50" xfId="0" applyNumberFormat="1" applyFont="1" applyBorder="1" applyAlignment="1">
      <alignment/>
    </xf>
    <xf numFmtId="3" fontId="29" fillId="0" borderId="0" xfId="0" applyNumberFormat="1" applyFont="1" applyFill="1" applyAlignment="1">
      <alignment horizontal="right"/>
    </xf>
    <xf numFmtId="3" fontId="40" fillId="0" borderId="11" xfId="0" applyNumberFormat="1" applyFont="1" applyBorder="1" applyAlignment="1">
      <alignment horizontal="center"/>
    </xf>
    <xf numFmtId="3" fontId="37" fillId="0" borderId="11" xfId="0" applyNumberFormat="1" applyFont="1" applyFill="1" applyBorder="1" applyAlignment="1">
      <alignment horizontal="center"/>
    </xf>
    <xf numFmtId="3" fontId="39" fillId="0" borderId="11" xfId="0" applyNumberFormat="1" applyFont="1" applyBorder="1" applyAlignment="1">
      <alignment horizontal="center"/>
    </xf>
    <xf numFmtId="178" fontId="29" fillId="0" borderId="0" xfId="0" applyNumberFormat="1" applyFont="1" applyAlignment="1">
      <alignment/>
    </xf>
    <xf numFmtId="173" fontId="29" fillId="0" borderId="0" xfId="0" applyNumberFormat="1" applyFont="1" applyBorder="1" applyAlignment="1">
      <alignment horizontal="right"/>
    </xf>
    <xf numFmtId="178" fontId="29" fillId="0" borderId="0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7" fillId="0" borderId="13" xfId="0" applyNumberFormat="1" applyFont="1" applyFill="1" applyBorder="1" applyAlignment="1">
      <alignment horizontal="right"/>
    </xf>
    <xf numFmtId="3" fontId="40" fillId="0" borderId="19" xfId="0" applyNumberFormat="1" applyFont="1" applyBorder="1" applyAlignment="1">
      <alignment horizontal="center"/>
    </xf>
    <xf numFmtId="3" fontId="37" fillId="0" borderId="61" xfId="0" applyNumberFormat="1" applyFont="1" applyBorder="1" applyAlignment="1">
      <alignment/>
    </xf>
    <xf numFmtId="3" fontId="37" fillId="0" borderId="44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40" fillId="0" borderId="46" xfId="0" applyNumberFormat="1" applyFont="1" applyBorder="1" applyAlignment="1">
      <alignment/>
    </xf>
    <xf numFmtId="3" fontId="37" fillId="0" borderId="13" xfId="0" applyNumberFormat="1" applyFont="1" applyBorder="1" applyAlignment="1">
      <alignment horizontal="center"/>
    </xf>
    <xf numFmtId="3" fontId="37" fillId="33" borderId="62" xfId="0" applyNumberFormat="1" applyFont="1" applyFill="1" applyBorder="1" applyAlignment="1">
      <alignment horizontal="right"/>
    </xf>
    <xf numFmtId="3" fontId="37" fillId="33" borderId="29" xfId="0" applyNumberFormat="1" applyFont="1" applyFill="1" applyBorder="1" applyAlignment="1">
      <alignment horizontal="right"/>
    </xf>
    <xf numFmtId="3" fontId="37" fillId="33" borderId="47" xfId="0" applyNumberFormat="1" applyFont="1" applyFill="1" applyBorder="1" applyAlignment="1">
      <alignment horizontal="right"/>
    </xf>
    <xf numFmtId="3" fontId="37" fillId="33" borderId="62" xfId="0" applyNumberFormat="1" applyFont="1" applyFill="1" applyBorder="1" applyAlignment="1">
      <alignment/>
    </xf>
    <xf numFmtId="3" fontId="37" fillId="33" borderId="29" xfId="0" applyNumberFormat="1" applyFont="1" applyFill="1" applyBorder="1" applyAlignment="1">
      <alignment/>
    </xf>
    <xf numFmtId="3" fontId="14" fillId="0" borderId="22" xfId="0" applyNumberFormat="1" applyFont="1" applyBorder="1" applyAlignment="1">
      <alignment/>
    </xf>
    <xf numFmtId="3" fontId="39" fillId="0" borderId="48" xfId="0" applyNumberFormat="1" applyFont="1" applyBorder="1" applyAlignment="1">
      <alignment/>
    </xf>
    <xf numFmtId="3" fontId="37" fillId="34" borderId="62" xfId="0" applyNumberFormat="1" applyFont="1" applyFill="1" applyBorder="1" applyAlignment="1">
      <alignment horizontal="right"/>
    </xf>
    <xf numFmtId="3" fontId="37" fillId="34" borderId="29" xfId="0" applyNumberFormat="1" applyFont="1" applyFill="1" applyBorder="1" applyAlignment="1">
      <alignment horizontal="right"/>
    </xf>
    <xf numFmtId="3" fontId="37" fillId="34" borderId="47" xfId="0" applyNumberFormat="1" applyFont="1" applyFill="1" applyBorder="1" applyAlignment="1">
      <alignment horizontal="right"/>
    </xf>
    <xf numFmtId="3" fontId="37" fillId="34" borderId="29" xfId="0" applyNumberFormat="1" applyFont="1" applyFill="1" applyBorder="1" applyAlignment="1">
      <alignment/>
    </xf>
    <xf numFmtId="3" fontId="29" fillId="0" borderId="62" xfId="0" applyNumberFormat="1" applyFont="1" applyBorder="1" applyAlignment="1">
      <alignment horizontal="right"/>
    </xf>
    <xf numFmtId="3" fontId="37" fillId="0" borderId="29" xfId="0" applyNumberFormat="1" applyFont="1" applyBorder="1" applyAlignment="1">
      <alignment horizontal="right"/>
    </xf>
    <xf numFmtId="3" fontId="29" fillId="0" borderId="29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40" fillId="0" borderId="48" xfId="0" applyNumberFormat="1" applyFont="1" applyBorder="1" applyAlignment="1">
      <alignment/>
    </xf>
    <xf numFmtId="0" fontId="10" fillId="0" borderId="22" xfId="0" applyFont="1" applyBorder="1" applyAlignment="1">
      <alignment/>
    </xf>
    <xf numFmtId="3" fontId="29" fillId="0" borderId="24" xfId="0" applyNumberFormat="1" applyFont="1" applyBorder="1" applyAlignment="1">
      <alignment/>
    </xf>
    <xf numFmtId="0" fontId="14" fillId="0" borderId="23" xfId="0" applyFont="1" applyBorder="1" applyAlignment="1">
      <alignment/>
    </xf>
    <xf numFmtId="3" fontId="29" fillId="0" borderId="36" xfId="0" applyNumberFormat="1" applyFont="1" applyFill="1" applyBorder="1" applyAlignment="1">
      <alignment horizontal="right"/>
    </xf>
    <xf numFmtId="3" fontId="37" fillId="0" borderId="36" xfId="0" applyNumberFormat="1" applyFont="1" applyBorder="1" applyAlignment="1">
      <alignment horizontal="right"/>
    </xf>
    <xf numFmtId="3" fontId="39" fillId="0" borderId="50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22" fillId="0" borderId="33" xfId="0" applyNumberFormat="1" applyFont="1" applyBorder="1" applyAlignment="1">
      <alignment/>
    </xf>
    <xf numFmtId="0" fontId="13" fillId="0" borderId="33" xfId="0" applyFont="1" applyBorder="1" applyAlignment="1">
      <alignment/>
    </xf>
    <xf numFmtId="0" fontId="22" fillId="0" borderId="33" xfId="0" applyFont="1" applyBorder="1" applyAlignment="1">
      <alignment/>
    </xf>
    <xf numFmtId="0" fontId="13" fillId="0" borderId="43" xfId="0" applyFont="1" applyBorder="1" applyAlignment="1">
      <alignment/>
    </xf>
    <xf numFmtId="3" fontId="34" fillId="0" borderId="51" xfId="0" applyNumberFormat="1" applyFont="1" applyBorder="1" applyAlignment="1">
      <alignment horizontal="right"/>
    </xf>
    <xf numFmtId="3" fontId="34" fillId="0" borderId="51" xfId="44" applyNumberFormat="1" applyFont="1" applyBorder="1" applyAlignment="1" quotePrefix="1">
      <alignment horizontal="right"/>
    </xf>
    <xf numFmtId="3" fontId="43" fillId="0" borderId="52" xfId="44" applyNumberFormat="1" applyFont="1" applyBorder="1" applyAlignment="1" quotePrefix="1">
      <alignment horizontal="right"/>
    </xf>
    <xf numFmtId="3" fontId="73" fillId="0" borderId="19" xfId="44" applyNumberFormat="1" applyFont="1" applyBorder="1" applyAlignment="1">
      <alignment horizontal="right"/>
    </xf>
    <xf numFmtId="3" fontId="29" fillId="38" borderId="0" xfId="0" applyNumberFormat="1" applyFont="1" applyFill="1" applyAlignment="1">
      <alignment/>
    </xf>
    <xf numFmtId="3" fontId="29" fillId="38" borderId="0" xfId="0" applyNumberFormat="1" applyFont="1" applyFill="1" applyBorder="1" applyAlignment="1">
      <alignment/>
    </xf>
    <xf numFmtId="178" fontId="29" fillId="38" borderId="0" xfId="0" applyNumberFormat="1" applyFont="1" applyFill="1" applyAlignment="1">
      <alignment/>
    </xf>
    <xf numFmtId="3" fontId="37" fillId="38" borderId="61" xfId="0" applyNumberFormat="1" applyFont="1" applyFill="1" applyBorder="1" applyAlignment="1">
      <alignment/>
    </xf>
    <xf numFmtId="3" fontId="37" fillId="38" borderId="44" xfId="0" applyNumberFormat="1" applyFont="1" applyFill="1" applyBorder="1" applyAlignment="1">
      <alignment/>
    </xf>
    <xf numFmtId="3" fontId="37" fillId="38" borderId="62" xfId="0" applyNumberFormat="1" applyFont="1" applyFill="1" applyBorder="1" applyAlignment="1">
      <alignment horizontal="right"/>
    </xf>
    <xf numFmtId="3" fontId="37" fillId="38" borderId="29" xfId="0" applyNumberFormat="1" applyFont="1" applyFill="1" applyBorder="1" applyAlignment="1">
      <alignment/>
    </xf>
    <xf numFmtId="3" fontId="29" fillId="38" borderId="62" xfId="0" applyNumberFormat="1" applyFont="1" applyFill="1" applyBorder="1" applyAlignment="1">
      <alignment horizontal="right"/>
    </xf>
    <xf numFmtId="3" fontId="29" fillId="38" borderId="29" xfId="0" applyNumberFormat="1" applyFont="1" applyFill="1" applyBorder="1" applyAlignment="1">
      <alignment/>
    </xf>
    <xf numFmtId="3" fontId="29" fillId="38" borderId="116" xfId="0" applyNumberFormat="1" applyFont="1" applyFill="1" applyBorder="1" applyAlignment="1">
      <alignment horizontal="right"/>
    </xf>
    <xf numFmtId="0" fontId="0" fillId="38" borderId="0" xfId="0" applyFill="1" applyAlignment="1">
      <alignment/>
    </xf>
    <xf numFmtId="3" fontId="48" fillId="33" borderId="0" xfId="0" applyNumberFormat="1" applyFont="1" applyFill="1" applyBorder="1" applyAlignment="1">
      <alignment horizontal="right"/>
    </xf>
    <xf numFmtId="3" fontId="48" fillId="34" borderId="0" xfId="0" applyNumberFormat="1" applyFont="1" applyFill="1" applyBorder="1" applyAlignment="1">
      <alignment horizontal="right"/>
    </xf>
    <xf numFmtId="3" fontId="48" fillId="34" borderId="0" xfId="0" applyNumberFormat="1" applyFont="1" applyFill="1" applyBorder="1" applyAlignment="1">
      <alignment/>
    </xf>
    <xf numFmtId="0" fontId="14" fillId="0" borderId="31" xfId="0" applyFont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4" fillId="0" borderId="100" xfId="0" applyFont="1" applyBorder="1" applyAlignment="1">
      <alignment horizontal="right"/>
    </xf>
    <xf numFmtId="0" fontId="14" fillId="0" borderId="102" xfId="0" applyFont="1" applyBorder="1" applyAlignment="1">
      <alignment horizontal="right"/>
    </xf>
    <xf numFmtId="0" fontId="14" fillId="0" borderId="103" xfId="0" applyFont="1" applyBorder="1" applyAlignment="1">
      <alignment horizontal="right"/>
    </xf>
    <xf numFmtId="0" fontId="14" fillId="0" borderId="82" xfId="0" applyFont="1" applyBorder="1" applyAlignment="1">
      <alignment horizontal="right"/>
    </xf>
    <xf numFmtId="0" fontId="38" fillId="38" borderId="0" xfId="0" applyFont="1" applyFill="1" applyAlignment="1">
      <alignment/>
    </xf>
    <xf numFmtId="3" fontId="35" fillId="38" borderId="60" xfId="0" applyNumberFormat="1" applyFont="1" applyFill="1" applyBorder="1" applyAlignment="1">
      <alignment/>
    </xf>
    <xf numFmtId="0" fontId="34" fillId="0" borderId="13" xfId="0" applyFont="1" applyFill="1" applyBorder="1" applyAlignment="1" quotePrefix="1">
      <alignment horizontal="right"/>
    </xf>
    <xf numFmtId="3" fontId="34" fillId="0" borderId="18" xfId="0" applyNumberFormat="1" applyFont="1" applyFill="1" applyBorder="1" applyAlignment="1" quotePrefix="1">
      <alignment horizontal="right"/>
    </xf>
    <xf numFmtId="0" fontId="34" fillId="0" borderId="19" xfId="0" applyFont="1" applyFill="1" applyBorder="1" applyAlignment="1" quotePrefix="1">
      <alignment horizontal="right"/>
    </xf>
    <xf numFmtId="3" fontId="35" fillId="0" borderId="53" xfId="0" applyNumberFormat="1" applyFont="1" applyFill="1" applyBorder="1" applyAlignment="1" quotePrefix="1">
      <alignment horizontal="right"/>
    </xf>
    <xf numFmtId="0" fontId="34" fillId="0" borderId="49" xfId="0" applyFont="1" applyFill="1" applyBorder="1" applyAlignment="1" quotePrefix="1">
      <alignment horizontal="right"/>
    </xf>
    <xf numFmtId="3" fontId="34" fillId="0" borderId="36" xfId="0" applyNumberFormat="1" applyFont="1" applyFill="1" applyBorder="1" applyAlignment="1" quotePrefix="1">
      <alignment horizontal="right"/>
    </xf>
    <xf numFmtId="0" fontId="34" fillId="0" borderId="80" xfId="0" applyFont="1" applyFill="1" applyBorder="1" applyAlignment="1" quotePrefix="1">
      <alignment horizontal="right"/>
    </xf>
    <xf numFmtId="177" fontId="34" fillId="0" borderId="17" xfId="0" applyNumberFormat="1" applyFont="1" applyBorder="1" applyAlignment="1" quotePrefix="1">
      <alignment horizontal="right"/>
    </xf>
    <xf numFmtId="177" fontId="34" fillId="0" borderId="17" xfId="0" applyNumberFormat="1" applyFont="1" applyBorder="1" applyAlignment="1">
      <alignment horizontal="right"/>
    </xf>
    <xf numFmtId="177" fontId="35" fillId="0" borderId="17" xfId="0" applyNumberFormat="1" applyFont="1" applyBorder="1" applyAlignment="1">
      <alignment horizontal="right"/>
    </xf>
    <xf numFmtId="177" fontId="34" fillId="0" borderId="0" xfId="0" applyNumberFormat="1" applyFont="1" applyBorder="1" applyAlignment="1" quotePrefix="1">
      <alignment horizontal="right"/>
    </xf>
    <xf numFmtId="177" fontId="29" fillId="0" borderId="54" xfId="0" applyNumberFormat="1" applyFont="1" applyBorder="1" applyAlignment="1" quotePrefix="1">
      <alignment horizontal="right"/>
    </xf>
    <xf numFmtId="177" fontId="14" fillId="0" borderId="16" xfId="0" applyNumberFormat="1" applyFont="1" applyBorder="1" applyAlignment="1">
      <alignment horizontal="right"/>
    </xf>
    <xf numFmtId="177" fontId="14" fillId="0" borderId="16" xfId="0" applyNumberFormat="1" applyFont="1" applyBorder="1" applyAlignment="1">
      <alignment/>
    </xf>
    <xf numFmtId="177" fontId="14" fillId="0" borderId="16" xfId="0" applyNumberFormat="1" applyFont="1" applyBorder="1" applyAlignment="1" quotePrefix="1">
      <alignment horizontal="right"/>
    </xf>
    <xf numFmtId="172" fontId="34" fillId="0" borderId="16" xfId="0" applyNumberFormat="1" applyFont="1" applyBorder="1" applyAlignment="1">
      <alignment horizontal="right"/>
    </xf>
    <xf numFmtId="177" fontId="37" fillId="0" borderId="13" xfId="0" applyNumberFormat="1" applyFont="1" applyBorder="1" applyAlignment="1">
      <alignment/>
    </xf>
    <xf numFmtId="1" fontId="35" fillId="0" borderId="13" xfId="0" applyNumberFormat="1" applyFont="1" applyBorder="1" applyAlignment="1">
      <alignment/>
    </xf>
    <xf numFmtId="3" fontId="11" fillId="0" borderId="17" xfId="0" applyNumberFormat="1" applyFont="1" applyBorder="1" applyAlignment="1" quotePrefix="1">
      <alignment horizontal="right"/>
    </xf>
    <xf numFmtId="3" fontId="16" fillId="0" borderId="17" xfId="0" applyNumberFormat="1" applyFont="1" applyBorder="1" applyAlignment="1" quotePrefix="1">
      <alignment horizontal="right"/>
    </xf>
    <xf numFmtId="3" fontId="18" fillId="0" borderId="16" xfId="0" applyNumberFormat="1" applyFont="1" applyBorder="1" applyAlignment="1" quotePrefix="1">
      <alignment horizontal="right"/>
    </xf>
    <xf numFmtId="3" fontId="16" fillId="0" borderId="0" xfId="0" applyNumberFormat="1" applyFont="1" applyBorder="1" applyAlignment="1" quotePrefix="1">
      <alignment horizontal="right"/>
    </xf>
    <xf numFmtId="1" fontId="37" fillId="0" borderId="53" xfId="0" applyNumberFormat="1" applyFont="1" applyBorder="1" applyAlignment="1">
      <alignment/>
    </xf>
    <xf numFmtId="4" fontId="37" fillId="0" borderId="0" xfId="0" applyNumberFormat="1" applyFont="1" applyBorder="1" applyAlignment="1">
      <alignment horizontal="right"/>
    </xf>
    <xf numFmtId="172" fontId="29" fillId="0" borderId="0" xfId="0" applyNumberFormat="1" applyFont="1" applyBorder="1" applyAlignment="1" quotePrefix="1">
      <alignment horizontal="right"/>
    </xf>
    <xf numFmtId="0" fontId="10" fillId="0" borderId="13" xfId="0" applyFont="1" applyBorder="1" applyAlignment="1" quotePrefix="1">
      <alignment horizontal="right"/>
    </xf>
    <xf numFmtId="0" fontId="10" fillId="0" borderId="19" xfId="0" applyFont="1" applyBorder="1" applyAlignment="1" quotePrefix="1">
      <alignment horizontal="right"/>
    </xf>
    <xf numFmtId="3" fontId="37" fillId="0" borderId="0" xfId="0" applyNumberFormat="1" applyFont="1" applyFill="1" applyBorder="1" applyAlignment="1">
      <alignment/>
    </xf>
    <xf numFmtId="1" fontId="37" fillId="0" borderId="18" xfId="0" applyNumberFormat="1" applyFont="1" applyBorder="1" applyAlignment="1">
      <alignment/>
    </xf>
    <xf numFmtId="172" fontId="30" fillId="0" borderId="17" xfId="0" applyNumberFormat="1" applyFont="1" applyBorder="1" applyAlignment="1">
      <alignment/>
    </xf>
    <xf numFmtId="172" fontId="48" fillId="0" borderId="17" xfId="0" applyNumberFormat="1" applyFont="1" applyBorder="1" applyAlignment="1">
      <alignment/>
    </xf>
    <xf numFmtId="0" fontId="48" fillId="0" borderId="16" xfId="0" applyFont="1" applyBorder="1" applyAlignment="1" quotePrefix="1">
      <alignment horizontal="right"/>
    </xf>
    <xf numFmtId="0" fontId="30" fillId="0" borderId="16" xfId="0" applyFont="1" applyBorder="1" applyAlignment="1" quotePrefix="1">
      <alignment horizontal="right"/>
    </xf>
    <xf numFmtId="172" fontId="25" fillId="0" borderId="13" xfId="0" applyNumberFormat="1" applyFont="1" applyBorder="1" applyAlignment="1">
      <alignment/>
    </xf>
    <xf numFmtId="3" fontId="65" fillId="0" borderId="17" xfId="0" applyNumberFormat="1" applyFont="1" applyBorder="1" applyAlignment="1" quotePrefix="1">
      <alignment horizontal="right"/>
    </xf>
    <xf numFmtId="0" fontId="65" fillId="0" borderId="16" xfId="0" applyFont="1" applyBorder="1" applyAlignment="1" quotePrefix="1">
      <alignment horizontal="right"/>
    </xf>
    <xf numFmtId="3" fontId="37" fillId="0" borderId="16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0" fontId="10" fillId="0" borderId="100" xfId="0" applyFont="1" applyBorder="1" applyAlignment="1" quotePrefix="1">
      <alignment horizontal="right"/>
    </xf>
    <xf numFmtId="4" fontId="10" fillId="0" borderId="100" xfId="0" applyNumberFormat="1" applyFont="1" applyBorder="1" applyAlignment="1" quotePrefix="1">
      <alignment horizontal="right"/>
    </xf>
    <xf numFmtId="3" fontId="34" fillId="0" borderId="0" xfId="0" applyNumberFormat="1" applyFont="1" applyFill="1" applyBorder="1" applyAlignment="1">
      <alignment/>
    </xf>
    <xf numFmtId="3" fontId="34" fillId="0" borderId="16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16" xfId="0" applyNumberFormat="1" applyFont="1" applyFill="1" applyBorder="1" applyAlignment="1">
      <alignment/>
    </xf>
    <xf numFmtId="3" fontId="35" fillId="0" borderId="17" xfId="0" applyNumberFormat="1" applyFont="1" applyFill="1" applyBorder="1" applyAlignment="1">
      <alignment horizontal="right"/>
    </xf>
    <xf numFmtId="3" fontId="34" fillId="0" borderId="80" xfId="0" applyNumberFormat="1" applyFont="1" applyFill="1" applyBorder="1" applyAlignment="1" quotePrefix="1">
      <alignment horizontal="right"/>
    </xf>
    <xf numFmtId="3" fontId="35" fillId="0" borderId="17" xfId="0" applyNumberFormat="1" applyFont="1" applyFill="1" applyBorder="1" applyAlignment="1" quotePrefix="1">
      <alignment horizontal="right"/>
    </xf>
    <xf numFmtId="3" fontId="35" fillId="0" borderId="54" xfId="0" applyNumberFormat="1" applyFont="1" applyBorder="1" applyAlignment="1">
      <alignment horizontal="right"/>
    </xf>
    <xf numFmtId="3" fontId="11" fillId="0" borderId="49" xfId="0" applyNumberFormat="1" applyFont="1" applyFill="1" applyBorder="1" applyAlignment="1">
      <alignment/>
    </xf>
    <xf numFmtId="3" fontId="11" fillId="0" borderId="36" xfId="0" applyNumberFormat="1" applyFont="1" applyFill="1" applyBorder="1" applyAlignment="1">
      <alignment horizontal="right"/>
    </xf>
    <xf numFmtId="3" fontId="11" fillId="0" borderId="8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179" fontId="31" fillId="0" borderId="0" xfId="0" applyNumberFormat="1" applyFont="1" applyBorder="1" applyAlignment="1">
      <alignment/>
    </xf>
    <xf numFmtId="1" fontId="34" fillId="0" borderId="17" xfId="0" applyNumberFormat="1" applyFont="1" applyBorder="1" applyAlignment="1">
      <alignment horizontal="right"/>
    </xf>
    <xf numFmtId="1" fontId="34" fillId="0" borderId="49" xfId="0" applyNumberFormat="1" applyFont="1" applyBorder="1" applyAlignment="1">
      <alignment horizontal="right"/>
    </xf>
    <xf numFmtId="1" fontId="35" fillId="0" borderId="17" xfId="0" applyNumberFormat="1" applyFont="1" applyBorder="1" applyAlignment="1">
      <alignment horizontal="right"/>
    </xf>
    <xf numFmtId="1" fontId="34" fillId="0" borderId="17" xfId="0" applyNumberFormat="1" applyFont="1" applyFill="1" applyBorder="1" applyAlignment="1">
      <alignment horizontal="right"/>
    </xf>
    <xf numFmtId="1" fontId="34" fillId="0" borderId="17" xfId="0" applyNumberFormat="1" applyFont="1" applyBorder="1" applyAlignment="1" quotePrefix="1">
      <alignment horizontal="right"/>
    </xf>
    <xf numFmtId="177" fontId="29" fillId="0" borderId="17" xfId="0" applyNumberFormat="1" applyFont="1" applyFill="1" applyBorder="1" applyAlignment="1">
      <alignment/>
    </xf>
    <xf numFmtId="1" fontId="29" fillId="0" borderId="17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43" fillId="0" borderId="11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18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35" fillId="0" borderId="15" xfId="0" applyNumberFormat="1" applyFont="1" applyFill="1" applyBorder="1" applyAlignment="1">
      <alignment/>
    </xf>
    <xf numFmtId="3" fontId="35" fillId="0" borderId="60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 horizontal="center"/>
    </xf>
    <xf numFmtId="0" fontId="52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/>
    </xf>
    <xf numFmtId="3" fontId="35" fillId="0" borderId="102" xfId="0" applyNumberFormat="1" applyFont="1" applyFill="1" applyBorder="1" applyAlignment="1">
      <alignment horizontal="right"/>
    </xf>
    <xf numFmtId="3" fontId="35" fillId="0" borderId="102" xfId="0" applyNumberFormat="1" applyFont="1" applyFill="1" applyBorder="1" applyAlignment="1" quotePrefix="1">
      <alignment horizontal="right"/>
    </xf>
    <xf numFmtId="3" fontId="47" fillId="0" borderId="3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34" fillId="0" borderId="103" xfId="0" applyFont="1" applyFill="1" applyBorder="1" applyAlignment="1">
      <alignment horizontal="right"/>
    </xf>
    <xf numFmtId="0" fontId="35" fillId="0" borderId="103" xfId="0" applyFont="1" applyFill="1" applyBorder="1" applyAlignment="1" quotePrefix="1">
      <alignment horizontal="right"/>
    </xf>
    <xf numFmtId="0" fontId="34" fillId="0" borderId="103" xfId="0" applyFont="1" applyFill="1" applyBorder="1" applyAlignment="1" quotePrefix="1">
      <alignment horizontal="right"/>
    </xf>
    <xf numFmtId="3" fontId="44" fillId="0" borderId="39" xfId="0" applyNumberFormat="1" applyFont="1" applyFill="1" applyBorder="1" applyAlignment="1">
      <alignment/>
    </xf>
    <xf numFmtId="0" fontId="35" fillId="0" borderId="103" xfId="0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/>
    </xf>
    <xf numFmtId="3" fontId="47" fillId="0" borderId="39" xfId="0" applyNumberFormat="1" applyFont="1" applyFill="1" applyBorder="1" applyAlignment="1">
      <alignment/>
    </xf>
    <xf numFmtId="3" fontId="34" fillId="0" borderId="103" xfId="0" applyNumberFormat="1" applyFont="1" applyFill="1" applyBorder="1" applyAlignment="1" quotePrefix="1">
      <alignment horizontal="right"/>
    </xf>
    <xf numFmtId="3" fontId="34" fillId="0" borderId="10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3" fontId="35" fillId="0" borderId="103" xfId="0" applyNumberFormat="1" applyFont="1" applyFill="1" applyBorder="1" applyAlignment="1">
      <alignment horizontal="right"/>
    </xf>
    <xf numFmtId="0" fontId="7" fillId="0" borderId="39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34" fillId="0" borderId="82" xfId="0" applyFont="1" applyFill="1" applyBorder="1" applyAlignment="1" quotePrefix="1">
      <alignment horizontal="right"/>
    </xf>
    <xf numFmtId="0" fontId="34" fillId="0" borderId="82" xfId="0" applyFont="1" applyFill="1" applyBorder="1" applyAlignment="1">
      <alignment horizontal="right"/>
    </xf>
    <xf numFmtId="0" fontId="34" fillId="0" borderId="49" xfId="0" applyFont="1" applyFill="1" applyBorder="1" applyAlignment="1">
      <alignment horizontal="right"/>
    </xf>
    <xf numFmtId="3" fontId="44" fillId="0" borderId="52" xfId="0" applyNumberFormat="1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0" fontId="53" fillId="0" borderId="14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54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35" fillId="0" borderId="60" xfId="0" applyNumberFormat="1" applyFont="1" applyFill="1" applyBorder="1" applyAlignment="1" quotePrefix="1">
      <alignment horizontal="right"/>
    </xf>
    <xf numFmtId="0" fontId="52" fillId="0" borderId="12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36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2" fontId="14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3" fontId="12" fillId="0" borderId="0" xfId="0" applyNumberFormat="1" applyFont="1" applyFill="1" applyBorder="1" applyAlignment="1" quotePrefix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 quotePrefix="1">
      <alignment horizontal="right"/>
    </xf>
    <xf numFmtId="3" fontId="11" fillId="0" borderId="49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center"/>
    </xf>
    <xf numFmtId="3" fontId="35" fillId="0" borderId="60" xfId="0" applyNumberFormat="1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/>
    </xf>
    <xf numFmtId="3" fontId="35" fillId="0" borderId="18" xfId="0" applyNumberFormat="1" applyFont="1" applyFill="1" applyBorder="1" applyAlignment="1">
      <alignment/>
    </xf>
    <xf numFmtId="3" fontId="35" fillId="0" borderId="31" xfId="0" applyNumberFormat="1" applyFont="1" applyFill="1" applyBorder="1" applyAlignment="1">
      <alignment/>
    </xf>
    <xf numFmtId="3" fontId="35" fillId="0" borderId="54" xfId="0" applyNumberFormat="1" applyFont="1" applyFill="1" applyBorder="1" applyAlignment="1">
      <alignment/>
    </xf>
    <xf numFmtId="3" fontId="35" fillId="0" borderId="0" xfId="0" applyNumberFormat="1" applyFont="1" applyFill="1" applyBorder="1" applyAlignment="1" quotePrefix="1">
      <alignment horizontal="right"/>
    </xf>
    <xf numFmtId="3" fontId="34" fillId="0" borderId="33" xfId="0" applyNumberFormat="1" applyFont="1" applyFill="1" applyBorder="1" applyAlignment="1">
      <alignment/>
    </xf>
    <xf numFmtId="3" fontId="35" fillId="0" borderId="33" xfId="0" applyNumberFormat="1" applyFont="1" applyFill="1" applyBorder="1" applyAlignment="1">
      <alignment/>
    </xf>
    <xf numFmtId="0" fontId="35" fillId="0" borderId="33" xfId="0" applyFont="1" applyFill="1" applyBorder="1" applyAlignment="1">
      <alignment/>
    </xf>
    <xf numFmtId="3" fontId="35" fillId="0" borderId="60" xfId="0" applyNumberFormat="1" applyFont="1" applyBorder="1" applyAlignment="1">
      <alignment/>
    </xf>
    <xf numFmtId="3" fontId="34" fillId="0" borderId="36" xfId="0" applyNumberFormat="1" applyFont="1" applyBorder="1" applyAlignment="1">
      <alignment/>
    </xf>
    <xf numFmtId="3" fontId="35" fillId="0" borderId="18" xfId="0" applyNumberFormat="1" applyFont="1" applyFill="1" applyBorder="1" applyAlignment="1">
      <alignment horizontal="right"/>
    </xf>
    <xf numFmtId="3" fontId="35" fillId="0" borderId="31" xfId="0" applyNumberFormat="1" applyFont="1" applyFill="1" applyBorder="1" applyAlignment="1">
      <alignment horizontal="right"/>
    </xf>
    <xf numFmtId="3" fontId="35" fillId="0" borderId="54" xfId="0" applyNumberFormat="1" applyFont="1" applyFill="1" applyBorder="1" applyAlignment="1">
      <alignment horizontal="right"/>
    </xf>
    <xf numFmtId="3" fontId="81" fillId="0" borderId="53" xfId="0" applyNumberFormat="1" applyFont="1" applyBorder="1" applyAlignment="1">
      <alignment/>
    </xf>
    <xf numFmtId="3" fontId="82" fillId="0" borderId="17" xfId="0" applyNumberFormat="1" applyFont="1" applyBorder="1" applyAlignment="1">
      <alignment/>
    </xf>
    <xf numFmtId="3" fontId="81" fillId="0" borderId="17" xfId="0" applyNumberFormat="1" applyFont="1" applyBorder="1" applyAlignment="1">
      <alignment/>
    </xf>
    <xf numFmtId="3" fontId="82" fillId="0" borderId="17" xfId="0" applyNumberFormat="1" applyFont="1" applyBorder="1" applyAlignment="1">
      <alignment/>
    </xf>
    <xf numFmtId="3" fontId="81" fillId="0" borderId="17" xfId="0" applyNumberFormat="1" applyFont="1" applyBorder="1" applyAlignment="1">
      <alignment/>
    </xf>
    <xf numFmtId="3" fontId="82" fillId="0" borderId="49" xfId="0" applyNumberFormat="1" applyFont="1" applyBorder="1" applyAlignment="1">
      <alignment/>
    </xf>
    <xf numFmtId="0" fontId="0" fillId="0" borderId="0" xfId="0" applyFill="1" applyAlignment="1">
      <alignment/>
    </xf>
    <xf numFmtId="0" fontId="34" fillId="0" borderId="11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3" fontId="35" fillId="0" borderId="19" xfId="0" applyNumberFormat="1" applyFont="1" applyFill="1" applyBorder="1" applyAlignment="1">
      <alignment/>
    </xf>
    <xf numFmtId="3" fontId="29" fillId="0" borderId="16" xfId="0" applyNumberFormat="1" applyFont="1" applyFill="1" applyBorder="1" applyAlignment="1">
      <alignment horizontal="right"/>
    </xf>
    <xf numFmtId="3" fontId="29" fillId="0" borderId="16" xfId="0" applyNumberFormat="1" applyFont="1" applyFill="1" applyBorder="1" applyAlignment="1" quotePrefix="1">
      <alignment horizontal="right"/>
    </xf>
    <xf numFmtId="3" fontId="30" fillId="0" borderId="16" xfId="0" applyNumberFormat="1" applyFont="1" applyFill="1" applyBorder="1" applyAlignment="1">
      <alignment horizontal="right"/>
    </xf>
    <xf numFmtId="3" fontId="25" fillId="0" borderId="6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43" fillId="0" borderId="40" xfId="42" applyNumberFormat="1" applyFont="1" applyBorder="1" applyAlignment="1" quotePrefix="1">
      <alignment horizontal="right"/>
    </xf>
    <xf numFmtId="3" fontId="12" fillId="0" borderId="47" xfId="0" applyNumberFormat="1" applyFont="1" applyBorder="1" applyAlignment="1" quotePrefix="1">
      <alignment horizontal="right"/>
    </xf>
    <xf numFmtId="3" fontId="12" fillId="0" borderId="64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3" fontId="12" fillId="0" borderId="43" xfId="0" applyNumberFormat="1" applyFont="1" applyBorder="1" applyAlignment="1" quotePrefix="1">
      <alignment horizontal="right"/>
    </xf>
    <xf numFmtId="3" fontId="12" fillId="0" borderId="39" xfId="44" applyNumberFormat="1" applyFont="1" applyBorder="1" applyAlignment="1" quotePrefix="1">
      <alignment horizontal="right"/>
    </xf>
    <xf numFmtId="3" fontId="72" fillId="0" borderId="60" xfId="0" applyNumberFormat="1" applyFont="1" applyBorder="1" applyAlignment="1">
      <alignment/>
    </xf>
    <xf numFmtId="3" fontId="72" fillId="0" borderId="105" xfId="44" applyNumberFormat="1" applyFont="1" applyBorder="1" applyAlignment="1" quotePrefix="1">
      <alignment horizontal="right"/>
    </xf>
    <xf numFmtId="3" fontId="72" fillId="0" borderId="33" xfId="0" applyNumberFormat="1" applyFont="1" applyBorder="1" applyAlignment="1">
      <alignment/>
    </xf>
    <xf numFmtId="3" fontId="72" fillId="0" borderId="0" xfId="44" applyNumberFormat="1" applyFont="1" applyBorder="1" applyAlignment="1" quotePrefix="1">
      <alignment horizontal="right"/>
    </xf>
    <xf numFmtId="3" fontId="72" fillId="0" borderId="0" xfId="44" applyNumberFormat="1" applyFont="1" applyBorder="1" applyAlignment="1">
      <alignment horizontal="right"/>
    </xf>
    <xf numFmtId="3" fontId="72" fillId="0" borderId="0" xfId="0" applyNumberFormat="1" applyFont="1" applyBorder="1" applyAlignment="1">
      <alignment horizontal="right"/>
    </xf>
    <xf numFmtId="3" fontId="22" fillId="0" borderId="104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7" xfId="0" applyNumberFormat="1" applyFont="1" applyFill="1" applyBorder="1" applyAlignment="1">
      <alignment horizontal="center"/>
    </xf>
    <xf numFmtId="3" fontId="22" fillId="0" borderId="38" xfId="0" applyNumberFormat="1" applyFont="1" applyFill="1" applyBorder="1" applyAlignment="1">
      <alignment horizontal="center"/>
    </xf>
    <xf numFmtId="3" fontId="72" fillId="0" borderId="62" xfId="44" applyNumberFormat="1" applyFont="1" applyBorder="1" applyAlignment="1">
      <alignment horizontal="right"/>
    </xf>
    <xf numFmtId="3" fontId="22" fillId="0" borderId="31" xfId="0" applyNumberFormat="1" applyFont="1" applyFill="1" applyBorder="1" applyAlignment="1">
      <alignment horizontal="center"/>
    </xf>
    <xf numFmtId="3" fontId="73" fillId="0" borderId="77" xfId="44" applyNumberFormat="1" applyFont="1" applyBorder="1" applyAlignment="1">
      <alignment horizontal="right"/>
    </xf>
    <xf numFmtId="3" fontId="73" fillId="0" borderId="73" xfId="44" applyNumberFormat="1" applyFont="1" applyBorder="1" applyAlignment="1">
      <alignment horizontal="right"/>
    </xf>
    <xf numFmtId="3" fontId="73" fillId="0" borderId="12" xfId="44" applyNumberFormat="1" applyFont="1" applyBorder="1" applyAlignment="1">
      <alignment horizontal="right"/>
    </xf>
    <xf numFmtId="3" fontId="72" fillId="0" borderId="105" xfId="0" applyNumberFormat="1" applyFont="1" applyBorder="1" applyAlignment="1" quotePrefix="1">
      <alignment horizontal="right"/>
    </xf>
    <xf numFmtId="0" fontId="77" fillId="0" borderId="0" xfId="0" applyFont="1" applyAlignment="1">
      <alignment/>
    </xf>
    <xf numFmtId="3" fontId="31" fillId="0" borderId="0" xfId="0" applyNumberFormat="1" applyFont="1" applyFill="1" applyBorder="1" applyAlignment="1" quotePrefix="1">
      <alignment horizontal="right"/>
    </xf>
    <xf numFmtId="3" fontId="32" fillId="0" borderId="65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/>
    </xf>
    <xf numFmtId="3" fontId="26" fillId="0" borderId="31" xfId="0" applyNumberFormat="1" applyFont="1" applyBorder="1" applyAlignment="1">
      <alignment/>
    </xf>
    <xf numFmtId="3" fontId="25" fillId="0" borderId="32" xfId="0" applyNumberFormat="1" applyFont="1" applyBorder="1" applyAlignment="1">
      <alignment/>
    </xf>
    <xf numFmtId="0" fontId="26" fillId="0" borderId="62" xfId="0" applyFont="1" applyBorder="1" applyAlignment="1">
      <alignment/>
    </xf>
    <xf numFmtId="0" fontId="26" fillId="0" borderId="116" xfId="0" applyFont="1" applyBorder="1" applyAlignment="1">
      <alignment/>
    </xf>
    <xf numFmtId="3" fontId="30" fillId="0" borderId="0" xfId="0" applyNumberFormat="1" applyFont="1" applyFill="1" applyBorder="1" applyAlignment="1" quotePrefix="1">
      <alignment horizontal="right"/>
    </xf>
    <xf numFmtId="0" fontId="31" fillId="0" borderId="62" xfId="0" applyFont="1" applyFill="1" applyBorder="1" applyAlignment="1">
      <alignment/>
    </xf>
    <xf numFmtId="0" fontId="31" fillId="0" borderId="116" xfId="0" applyFont="1" applyBorder="1" applyAlignment="1">
      <alignment/>
    </xf>
    <xf numFmtId="0" fontId="49" fillId="0" borderId="14" xfId="0" applyNumberFormat="1" applyFont="1" applyBorder="1" applyAlignment="1">
      <alignment horizontal="center"/>
    </xf>
    <xf numFmtId="4" fontId="48" fillId="0" borderId="12" xfId="0" applyNumberFormat="1" applyFont="1" applyBorder="1" applyAlignment="1">
      <alignment horizontal="center"/>
    </xf>
    <xf numFmtId="0" fontId="78" fillId="0" borderId="0" xfId="0" applyFont="1" applyAlignment="1">
      <alignment/>
    </xf>
    <xf numFmtId="0" fontId="26" fillId="0" borderId="0" xfId="0" applyFont="1" applyAlignment="1">
      <alignment/>
    </xf>
    <xf numFmtId="0" fontId="48" fillId="0" borderId="0" xfId="0" applyFont="1" applyAlignment="1">
      <alignment horizontal="left"/>
    </xf>
    <xf numFmtId="176" fontId="30" fillId="0" borderId="0" xfId="0" applyNumberFormat="1" applyFont="1" applyAlignment="1">
      <alignment wrapText="1"/>
    </xf>
    <xf numFmtId="0" fontId="48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3" fontId="37" fillId="0" borderId="24" xfId="0" applyNumberFormat="1" applyFont="1" applyBorder="1" applyAlignment="1" quotePrefix="1">
      <alignment horizontal="right"/>
    </xf>
    <xf numFmtId="0" fontId="10" fillId="0" borderId="22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3" fontId="30" fillId="0" borderId="16" xfId="0" applyNumberFormat="1" applyFont="1" applyFill="1" applyBorder="1" applyAlignment="1">
      <alignment/>
    </xf>
    <xf numFmtId="3" fontId="66" fillId="0" borderId="14" xfId="0" applyNumberFormat="1" applyFont="1" applyFill="1" applyBorder="1" applyAlignment="1">
      <alignment horizontal="right"/>
    </xf>
    <xf numFmtId="3" fontId="31" fillId="0" borderId="16" xfId="0" applyNumberFormat="1" applyFont="1" applyFill="1" applyBorder="1" applyAlignment="1">
      <alignment horizontal="right"/>
    </xf>
    <xf numFmtId="172" fontId="26" fillId="0" borderId="16" xfId="0" applyNumberFormat="1" applyFont="1" applyFill="1" applyBorder="1" applyAlignment="1">
      <alignment horizontal="right"/>
    </xf>
    <xf numFmtId="3" fontId="30" fillId="0" borderId="22" xfId="0" applyNumberFormat="1" applyFont="1" applyFill="1" applyBorder="1" applyAlignment="1">
      <alignment/>
    </xf>
    <xf numFmtId="3" fontId="30" fillId="0" borderId="17" xfId="0" applyNumberFormat="1" applyFont="1" applyFill="1" applyBorder="1" applyAlignment="1" quotePrefix="1">
      <alignment horizontal="right"/>
    </xf>
    <xf numFmtId="172" fontId="30" fillId="0" borderId="16" xfId="0" applyNumberFormat="1" applyFont="1" applyFill="1" applyBorder="1" applyAlignment="1" quotePrefix="1">
      <alignment horizontal="right"/>
    </xf>
    <xf numFmtId="1" fontId="14" fillId="0" borderId="0" xfId="0" applyNumberFormat="1" applyFont="1" applyFill="1" applyBorder="1" applyAlignment="1">
      <alignment/>
    </xf>
    <xf numFmtId="1" fontId="29" fillId="0" borderId="0" xfId="0" applyNumberFormat="1" applyFont="1" applyBorder="1" applyAlignment="1" quotePrefix="1">
      <alignment horizontal="right"/>
    </xf>
    <xf numFmtId="1" fontId="37" fillId="0" borderId="31" xfId="0" applyNumberFormat="1" applyFont="1" applyBorder="1" applyAlignment="1">
      <alignment horizontal="right"/>
    </xf>
    <xf numFmtId="172" fontId="34" fillId="0" borderId="76" xfId="0" applyNumberFormat="1" applyFont="1" applyBorder="1" applyAlignment="1">
      <alignment horizontal="right"/>
    </xf>
    <xf numFmtId="4" fontId="35" fillId="0" borderId="76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/>
    </xf>
    <xf numFmtId="3" fontId="29" fillId="0" borderId="81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26" fillId="0" borderId="16" xfId="0" applyNumberFormat="1" applyFont="1" applyBorder="1" applyAlignment="1">
      <alignment/>
    </xf>
    <xf numFmtId="3" fontId="25" fillId="0" borderId="18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/>
    </xf>
    <xf numFmtId="3" fontId="82" fillId="0" borderId="17" xfId="0" applyNumberFormat="1" applyFont="1" applyBorder="1" applyAlignment="1" quotePrefix="1">
      <alignment horizontal="right"/>
    </xf>
    <xf numFmtId="1" fontId="37" fillId="0" borderId="17" xfId="0" applyNumberFormat="1" applyFont="1" applyFill="1" applyBorder="1" applyAlignment="1">
      <alignment horizontal="right"/>
    </xf>
    <xf numFmtId="1" fontId="37" fillId="0" borderId="17" xfId="0" applyNumberFormat="1" applyFont="1" applyFill="1" applyBorder="1" applyAlignment="1" quotePrefix="1">
      <alignment horizontal="right"/>
    </xf>
    <xf numFmtId="1" fontId="29" fillId="0" borderId="17" xfId="0" applyNumberFormat="1" applyFont="1" applyFill="1" applyBorder="1" applyAlignment="1">
      <alignment horizontal="right"/>
    </xf>
    <xf numFmtId="1" fontId="37" fillId="0" borderId="16" xfId="0" applyNumberFormat="1" applyFont="1" applyFill="1" applyBorder="1" applyAlignment="1">
      <alignment horizontal="right"/>
    </xf>
    <xf numFmtId="1" fontId="37" fillId="0" borderId="16" xfId="0" applyNumberFormat="1" applyFont="1" applyFill="1" applyBorder="1" applyAlignment="1" quotePrefix="1">
      <alignment horizontal="right"/>
    </xf>
    <xf numFmtId="1" fontId="29" fillId="0" borderId="16" xfId="0" applyNumberFormat="1" applyFont="1" applyFill="1" applyBorder="1" applyAlignment="1">
      <alignment horizontal="right"/>
    </xf>
    <xf numFmtId="1" fontId="37" fillId="0" borderId="15" xfId="0" applyNumberFormat="1" applyFont="1" applyFill="1" applyBorder="1" applyAlignment="1">
      <alignment horizontal="right"/>
    </xf>
    <xf numFmtId="1" fontId="37" fillId="0" borderId="16" xfId="0" applyNumberFormat="1" applyFont="1" applyFill="1" applyBorder="1" applyAlignment="1">
      <alignment/>
    </xf>
    <xf numFmtId="1" fontId="29" fillId="0" borderId="16" xfId="0" applyNumberFormat="1" applyFont="1" applyFill="1" applyBorder="1" applyAlignment="1">
      <alignment/>
    </xf>
    <xf numFmtId="1" fontId="14" fillId="0" borderId="16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14" fillId="0" borderId="16" xfId="0" applyNumberFormat="1" applyFont="1" applyFill="1" applyBorder="1" applyAlignment="1" quotePrefix="1">
      <alignment horizontal="right"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1" fontId="14" fillId="0" borderId="16" xfId="0" applyNumberFormat="1" applyFont="1" applyFill="1" applyBorder="1" applyAlignment="1">
      <alignment/>
    </xf>
    <xf numFmtId="1" fontId="14" fillId="0" borderId="80" xfId="0" applyNumberFormat="1" applyFont="1" applyBorder="1" applyAlignment="1">
      <alignment/>
    </xf>
    <xf numFmtId="0" fontId="30" fillId="0" borderId="16" xfId="0" applyFont="1" applyFill="1" applyBorder="1" applyAlignment="1" quotePrefix="1">
      <alignment horizontal="right"/>
    </xf>
    <xf numFmtId="1" fontId="37" fillId="0" borderId="19" xfId="0" applyNumberFormat="1" applyFont="1" applyBorder="1" applyAlignment="1">
      <alignment/>
    </xf>
    <xf numFmtId="1" fontId="37" fillId="0" borderId="54" xfId="0" applyNumberFormat="1" applyFont="1" applyBorder="1" applyAlignment="1" quotePrefix="1">
      <alignment horizontal="right"/>
    </xf>
    <xf numFmtId="2" fontId="29" fillId="0" borderId="0" xfId="0" applyNumberFormat="1" applyFont="1" applyFill="1" applyBorder="1" applyAlignment="1">
      <alignment horizontal="right"/>
    </xf>
    <xf numFmtId="2" fontId="37" fillId="0" borderId="0" xfId="0" applyNumberFormat="1" applyFont="1" applyBorder="1" applyAlignment="1">
      <alignment/>
    </xf>
    <xf numFmtId="3" fontId="29" fillId="0" borderId="53" xfId="0" applyNumberFormat="1" applyFont="1" applyBorder="1" applyAlignment="1" quotePrefix="1">
      <alignment horizontal="right"/>
    </xf>
    <xf numFmtId="3" fontId="29" fillId="0" borderId="54" xfId="0" applyNumberFormat="1" applyFont="1" applyBorder="1" applyAlignment="1" quotePrefix="1">
      <alignment horizontal="right"/>
    </xf>
    <xf numFmtId="172" fontId="48" fillId="0" borderId="54" xfId="0" applyNumberFormat="1" applyFont="1" applyBorder="1" applyAlignment="1">
      <alignment horizontal="right"/>
    </xf>
    <xf numFmtId="0" fontId="29" fillId="0" borderId="59" xfId="0" applyFont="1" applyBorder="1" applyAlignment="1">
      <alignment/>
    </xf>
    <xf numFmtId="0" fontId="33" fillId="0" borderId="14" xfId="0" applyFont="1" applyBorder="1" applyAlignment="1">
      <alignment horizontal="left" wrapText="1"/>
    </xf>
    <xf numFmtId="0" fontId="26" fillId="0" borderId="30" xfId="0" applyFont="1" applyBorder="1" applyAlignment="1">
      <alignment/>
    </xf>
    <xf numFmtId="3" fontId="26" fillId="0" borderId="30" xfId="0" applyNumberFormat="1" applyFont="1" applyBorder="1" applyAlignment="1">
      <alignment/>
    </xf>
    <xf numFmtId="176" fontId="46" fillId="0" borderId="0" xfId="0" applyNumberFormat="1" applyFont="1" applyFill="1" applyBorder="1" applyAlignment="1">
      <alignment horizontal="right" wrapText="1"/>
    </xf>
    <xf numFmtId="176" fontId="31" fillId="0" borderId="0" xfId="0" applyNumberFormat="1" applyFont="1" applyFill="1" applyBorder="1" applyAlignment="1">
      <alignment horizontal="right" wrapText="1"/>
    </xf>
    <xf numFmtId="3" fontId="31" fillId="0" borderId="0" xfId="44" applyNumberFormat="1" applyFont="1" applyFill="1" applyBorder="1" applyAlignment="1">
      <alignment/>
    </xf>
    <xf numFmtId="0" fontId="31" fillId="0" borderId="0" xfId="0" applyFont="1" applyFill="1" applyBorder="1" applyAlignment="1">
      <alignment horizontal="right" wrapText="1"/>
    </xf>
    <xf numFmtId="0" fontId="32" fillId="0" borderId="0" xfId="0" applyFont="1" applyFill="1" applyBorder="1" applyAlignment="1">
      <alignment/>
    </xf>
    <xf numFmtId="0" fontId="26" fillId="0" borderId="25" xfId="0" applyFont="1" applyBorder="1" applyAlignment="1">
      <alignment/>
    </xf>
    <xf numFmtId="3" fontId="26" fillId="0" borderId="25" xfId="0" applyNumberFormat="1" applyFont="1" applyBorder="1" applyAlignment="1">
      <alignment/>
    </xf>
    <xf numFmtId="0" fontId="49" fillId="0" borderId="12" xfId="0" applyFont="1" applyBorder="1" applyAlignment="1">
      <alignment horizontal="left" wrapText="1"/>
    </xf>
    <xf numFmtId="0" fontId="26" fillId="0" borderId="84" xfId="0" applyFont="1" applyBorder="1" applyAlignment="1">
      <alignment/>
    </xf>
    <xf numFmtId="3" fontId="26" fillId="0" borderId="84" xfId="0" applyNumberFormat="1" applyFont="1" applyBorder="1" applyAlignment="1">
      <alignment/>
    </xf>
    <xf numFmtId="0" fontId="33" fillId="0" borderId="12" xfId="0" applyFont="1" applyBorder="1" applyAlignment="1">
      <alignment horizontal="left" wrapText="1"/>
    </xf>
    <xf numFmtId="0" fontId="48" fillId="36" borderId="13" xfId="0" applyFont="1" applyFill="1" applyBorder="1" applyAlignment="1">
      <alignment horizontal="left" vertical="center" wrapText="1"/>
    </xf>
    <xf numFmtId="3" fontId="31" fillId="33" borderId="19" xfId="0" applyNumberFormat="1" applyFont="1" applyFill="1" applyBorder="1" applyAlignment="1">
      <alignment horizontal="right" vertical="center" wrapText="1"/>
    </xf>
    <xf numFmtId="0" fontId="48" fillId="35" borderId="13" xfId="0" applyFont="1" applyFill="1" applyBorder="1" applyAlignment="1">
      <alignment horizontal="left" vertical="center" wrapText="1"/>
    </xf>
    <xf numFmtId="3" fontId="30" fillId="33" borderId="19" xfId="0" applyNumberFormat="1" applyFont="1" applyFill="1" applyBorder="1" applyAlignment="1">
      <alignment/>
    </xf>
    <xf numFmtId="3" fontId="31" fillId="33" borderId="19" xfId="0" applyNumberFormat="1" applyFont="1" applyFill="1" applyBorder="1" applyAlignment="1">
      <alignment/>
    </xf>
    <xf numFmtId="0" fontId="31" fillId="33" borderId="19" xfId="0" applyNumberFormat="1" applyFont="1" applyFill="1" applyBorder="1" applyAlignment="1">
      <alignment/>
    </xf>
    <xf numFmtId="176" fontId="49" fillId="35" borderId="19" xfId="0" applyNumberFormat="1" applyFont="1" applyFill="1" applyBorder="1" applyAlignment="1">
      <alignment horizontal="right" vertical="center" wrapText="1"/>
    </xf>
    <xf numFmtId="3" fontId="30" fillId="35" borderId="19" xfId="44" applyNumberFormat="1" applyFont="1" applyFill="1" applyBorder="1" applyAlignment="1">
      <alignment horizontal="right" vertical="center" wrapText="1"/>
    </xf>
    <xf numFmtId="3" fontId="30" fillId="33" borderId="19" xfId="0" applyNumberFormat="1" applyFont="1" applyFill="1" applyBorder="1" applyAlignment="1">
      <alignment horizontal="right" vertical="center" wrapText="1"/>
    </xf>
    <xf numFmtId="3" fontId="72" fillId="0" borderId="77" xfId="0" applyNumberFormat="1" applyFont="1" applyBorder="1" applyAlignment="1">
      <alignment wrapText="1"/>
    </xf>
    <xf numFmtId="3" fontId="72" fillId="0" borderId="60" xfId="0" applyNumberFormat="1" applyFont="1" applyBorder="1" applyAlignment="1">
      <alignment wrapText="1"/>
    </xf>
    <xf numFmtId="3" fontId="72" fillId="0" borderId="62" xfId="44" applyNumberFormat="1" applyFont="1" applyBorder="1" applyAlignment="1" quotePrefix="1">
      <alignment horizontal="right"/>
    </xf>
    <xf numFmtId="3" fontId="73" fillId="0" borderId="15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72" fillId="0" borderId="83" xfId="44" applyNumberFormat="1" applyFont="1" applyBorder="1" applyAlignment="1" quotePrefix="1">
      <alignment horizontal="right"/>
    </xf>
    <xf numFmtId="3" fontId="72" fillId="0" borderId="83" xfId="44" applyNumberFormat="1" applyFont="1" applyBorder="1" applyAlignment="1">
      <alignment horizontal="right"/>
    </xf>
    <xf numFmtId="3" fontId="72" fillId="0" borderId="117" xfId="44" applyNumberFormat="1" applyFont="1" applyBorder="1" applyAlignment="1" quotePrefix="1">
      <alignment horizontal="right"/>
    </xf>
    <xf numFmtId="3" fontId="72" fillId="0" borderId="61" xfId="44" applyNumberFormat="1" applyFont="1" applyBorder="1" applyAlignment="1" quotePrefix="1">
      <alignment horizontal="right"/>
    </xf>
    <xf numFmtId="3" fontId="72" fillId="0" borderId="62" xfId="0" applyNumberFormat="1" applyFont="1" applyBorder="1" applyAlignment="1">
      <alignment horizontal="right"/>
    </xf>
    <xf numFmtId="3" fontId="72" fillId="0" borderId="116" xfId="44" applyNumberFormat="1" applyFont="1" applyBorder="1" applyAlignment="1" quotePrefix="1">
      <alignment horizontal="right"/>
    </xf>
    <xf numFmtId="3" fontId="72" fillId="0" borderId="34" xfId="44" applyNumberFormat="1" applyFont="1" applyBorder="1" applyAlignment="1" quotePrefix="1">
      <alignment horizontal="right"/>
    </xf>
    <xf numFmtId="3" fontId="72" fillId="0" borderId="118" xfId="44" applyNumberFormat="1" applyFont="1" applyBorder="1" applyAlignment="1" quotePrefix="1">
      <alignment horizontal="right"/>
    </xf>
    <xf numFmtId="3" fontId="73" fillId="0" borderId="39" xfId="44" applyNumberFormat="1" applyFont="1" applyBorder="1" applyAlignment="1">
      <alignment horizontal="right"/>
    </xf>
    <xf numFmtId="3" fontId="72" fillId="0" borderId="62" xfId="0" applyNumberFormat="1" applyFont="1" applyBorder="1" applyAlignment="1" quotePrefix="1">
      <alignment horizontal="right"/>
    </xf>
    <xf numFmtId="3" fontId="72" fillId="0" borderId="34" xfId="0" applyNumberFormat="1" applyFont="1" applyBorder="1" applyAlignment="1" quotePrefix="1">
      <alignment horizontal="right"/>
    </xf>
    <xf numFmtId="3" fontId="72" fillId="0" borderId="61" xfId="44" applyNumberFormat="1" applyFont="1" applyBorder="1" applyAlignment="1">
      <alignment horizontal="right"/>
    </xf>
    <xf numFmtId="3" fontId="72" fillId="0" borderId="116" xfId="44" applyNumberFormat="1" applyFont="1" applyBorder="1" applyAlignment="1">
      <alignment horizontal="right"/>
    </xf>
    <xf numFmtId="3" fontId="72" fillId="0" borderId="116" xfId="0" applyNumberFormat="1" applyFont="1" applyBorder="1" applyAlignment="1">
      <alignment horizontal="right"/>
    </xf>
    <xf numFmtId="3" fontId="72" fillId="0" borderId="83" xfId="0" applyNumberFormat="1" applyFont="1" applyBorder="1" applyAlignment="1" quotePrefix="1">
      <alignment horizontal="right"/>
    </xf>
    <xf numFmtId="3" fontId="72" fillId="0" borderId="117" xfId="0" applyNumberFormat="1" applyFont="1" applyBorder="1" applyAlignment="1" quotePrefix="1">
      <alignment horizontal="right"/>
    </xf>
    <xf numFmtId="3" fontId="72" fillId="0" borderId="118" xfId="0" applyNumberFormat="1" applyFont="1" applyBorder="1" applyAlignment="1" quotePrefix="1">
      <alignment horizontal="right"/>
    </xf>
    <xf numFmtId="4" fontId="34" fillId="0" borderId="76" xfId="0" applyNumberFormat="1" applyFont="1" applyBorder="1" applyAlignment="1" quotePrefix="1">
      <alignment horizontal="right"/>
    </xf>
    <xf numFmtId="0" fontId="41" fillId="0" borderId="119" xfId="0" applyFont="1" applyBorder="1" applyAlignment="1">
      <alignment horizontal="center"/>
    </xf>
    <xf numFmtId="0" fontId="44" fillId="0" borderId="119" xfId="0" applyFont="1" applyBorder="1" applyAlignment="1">
      <alignment horizontal="center"/>
    </xf>
    <xf numFmtId="0" fontId="43" fillId="0" borderId="119" xfId="0" applyFont="1" applyBorder="1" applyAlignment="1">
      <alignment horizontal="center"/>
    </xf>
    <xf numFmtId="0" fontId="34" fillId="0" borderId="119" xfId="44" applyNumberFormat="1" applyFont="1" applyBorder="1" applyAlignment="1">
      <alignment horizontal="right"/>
    </xf>
    <xf numFmtId="0" fontId="34" fillId="0" borderId="92" xfId="0" applyFont="1" applyBorder="1" applyAlignment="1">
      <alignment horizontal="right"/>
    </xf>
    <xf numFmtId="0" fontId="34" fillId="0" borderId="15" xfId="58" applyFont="1" applyBorder="1" applyAlignment="1">
      <alignment/>
      <protection/>
    </xf>
    <xf numFmtId="3" fontId="34" fillId="0" borderId="11" xfId="44" applyFont="1" applyBorder="1" applyAlignment="1">
      <alignment horizontal="right"/>
    </xf>
    <xf numFmtId="0" fontId="34" fillId="0" borderId="11" xfId="58" applyFont="1" applyBorder="1" applyAlignment="1">
      <alignment horizontal="right"/>
      <protection/>
    </xf>
    <xf numFmtId="0" fontId="34" fillId="0" borderId="58" xfId="0" applyFont="1" applyBorder="1" applyAlignment="1">
      <alignment/>
    </xf>
    <xf numFmtId="0" fontId="41" fillId="0" borderId="58" xfId="0" applyFont="1" applyBorder="1" applyAlignment="1">
      <alignment/>
    </xf>
    <xf numFmtId="3" fontId="35" fillId="0" borderId="12" xfId="44" applyNumberFormat="1" applyFont="1" applyBorder="1" applyAlignment="1">
      <alignment horizontal="right"/>
    </xf>
    <xf numFmtId="4" fontId="35" fillId="0" borderId="12" xfId="42" applyNumberFormat="1" applyFont="1" applyBorder="1" applyAlignment="1">
      <alignment horizontal="right"/>
    </xf>
    <xf numFmtId="4" fontId="34" fillId="0" borderId="12" xfId="0" applyNumberFormat="1" applyFont="1" applyBorder="1" applyAlignment="1" quotePrefix="1">
      <alignment horizontal="right"/>
    </xf>
    <xf numFmtId="4" fontId="34" fillId="0" borderId="12" xfId="42" applyNumberFormat="1" applyFont="1" applyBorder="1" applyAlignment="1" quotePrefix="1">
      <alignment horizontal="right"/>
    </xf>
    <xf numFmtId="0" fontId="8" fillId="0" borderId="55" xfId="0" applyFont="1" applyFill="1" applyBorder="1" applyAlignment="1">
      <alignment/>
    </xf>
    <xf numFmtId="3" fontId="48" fillId="0" borderId="40" xfId="44" applyNumberFormat="1" applyFont="1" applyBorder="1" applyAlignment="1" quotePrefix="1">
      <alignment horizontal="right"/>
    </xf>
    <xf numFmtId="3" fontId="48" fillId="0" borderId="40" xfId="0" applyNumberFormat="1" applyFont="1" applyBorder="1" applyAlignment="1" quotePrefix="1">
      <alignment horizontal="right"/>
    </xf>
    <xf numFmtId="3" fontId="26" fillId="0" borderId="33" xfId="0" applyNumberFormat="1" applyFont="1" applyFill="1" applyBorder="1" applyAlignment="1">
      <alignment/>
    </xf>
    <xf numFmtId="3" fontId="27" fillId="0" borderId="43" xfId="0" applyNumberFormat="1" applyFont="1" applyFill="1" applyBorder="1" applyAlignment="1">
      <alignment/>
    </xf>
    <xf numFmtId="3" fontId="26" fillId="0" borderId="36" xfId="0" applyNumberFormat="1" applyFont="1" applyBorder="1" applyAlignment="1">
      <alignment/>
    </xf>
    <xf numFmtId="3" fontId="25" fillId="0" borderId="52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26" fillId="0" borderId="115" xfId="0" applyFont="1" applyBorder="1" applyAlignment="1">
      <alignment/>
    </xf>
    <xf numFmtId="3" fontId="26" fillId="0" borderId="57" xfId="0" applyNumberFormat="1" applyFont="1" applyBorder="1" applyAlignment="1">
      <alignment/>
    </xf>
    <xf numFmtId="3" fontId="26" fillId="0" borderId="29" xfId="0" applyNumberFormat="1" applyFont="1" applyBorder="1" applyAlignment="1">
      <alignment/>
    </xf>
    <xf numFmtId="0" fontId="26" fillId="0" borderId="81" xfId="0" applyFont="1" applyBorder="1" applyAlignment="1">
      <alignment/>
    </xf>
    <xf numFmtId="3" fontId="26" fillId="0" borderId="85" xfId="0" applyNumberFormat="1" applyFont="1" applyBorder="1" applyAlignment="1">
      <alignment/>
    </xf>
    <xf numFmtId="3" fontId="13" fillId="0" borderId="48" xfId="0" applyNumberFormat="1" applyFont="1" applyBorder="1" applyAlignment="1">
      <alignment/>
    </xf>
    <xf numFmtId="3" fontId="26" fillId="0" borderId="35" xfId="0" applyNumberFormat="1" applyFont="1" applyBorder="1" applyAlignment="1">
      <alignment/>
    </xf>
    <xf numFmtId="3" fontId="35" fillId="0" borderId="52" xfId="42" applyNumberFormat="1" applyFont="1" applyBorder="1" applyAlignment="1" quotePrefix="1">
      <alignment horizontal="right"/>
    </xf>
    <xf numFmtId="3" fontId="35" fillId="0" borderId="65" xfId="42" applyNumberFormat="1" applyFont="1" applyBorder="1" applyAlignment="1" quotePrefix="1">
      <alignment horizontal="right"/>
    </xf>
    <xf numFmtId="3" fontId="31" fillId="0" borderId="0" xfId="0" applyNumberFormat="1" applyFont="1" applyBorder="1" applyAlignment="1" quotePrefix="1">
      <alignment/>
    </xf>
    <xf numFmtId="3" fontId="32" fillId="0" borderId="65" xfId="0" applyNumberFormat="1" applyFont="1" applyBorder="1" applyAlignment="1" quotePrefix="1">
      <alignment horizontal="right"/>
    </xf>
    <xf numFmtId="3" fontId="30" fillId="0" borderId="55" xfId="0" applyNumberFormat="1" applyFont="1" applyFill="1" applyBorder="1" applyAlignment="1">
      <alignment/>
    </xf>
    <xf numFmtId="3" fontId="48" fillId="0" borderId="40" xfId="0" applyNumberFormat="1" applyFont="1" applyFill="1" applyBorder="1" applyAlignment="1">
      <alignment horizontal="right"/>
    </xf>
    <xf numFmtId="3" fontId="49" fillId="0" borderId="33" xfId="0" applyNumberFormat="1" applyFont="1" applyFill="1" applyBorder="1" applyAlignment="1">
      <alignment/>
    </xf>
    <xf numFmtId="3" fontId="48" fillId="0" borderId="39" xfId="0" applyNumberFormat="1" applyFont="1" applyFill="1" applyBorder="1" applyAlignment="1">
      <alignment horizontal="right"/>
    </xf>
    <xf numFmtId="3" fontId="48" fillId="0" borderId="39" xfId="44" applyNumberFormat="1" applyFont="1" applyBorder="1" applyAlignment="1" quotePrefix="1">
      <alignment horizontal="right"/>
    </xf>
    <xf numFmtId="3" fontId="32" fillId="0" borderId="40" xfId="0" applyNumberFormat="1" applyFont="1" applyBorder="1" applyAlignment="1" quotePrefix="1">
      <alignment horizontal="right"/>
    </xf>
    <xf numFmtId="3" fontId="29" fillId="0" borderId="51" xfId="0" applyNumberFormat="1" applyFont="1" applyBorder="1" applyAlignment="1" quotePrefix="1">
      <alignment horizontal="right"/>
    </xf>
    <xf numFmtId="3" fontId="29" fillId="0" borderId="51" xfId="0" applyNumberFormat="1" applyFont="1" applyFill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39" xfId="0" applyFont="1" applyBorder="1" applyAlignment="1">
      <alignment horizontal="right"/>
    </xf>
    <xf numFmtId="0" fontId="14" fillId="0" borderId="52" xfId="0" applyFont="1" applyBorder="1" applyAlignment="1">
      <alignment horizontal="right"/>
    </xf>
    <xf numFmtId="0" fontId="14" fillId="0" borderId="96" xfId="0" applyFont="1" applyBorder="1" applyAlignment="1">
      <alignment horizontal="right"/>
    </xf>
    <xf numFmtId="0" fontId="14" fillId="0" borderId="3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3" fontId="30" fillId="0" borderId="0" xfId="0" applyNumberFormat="1" applyFont="1" applyFill="1" applyBorder="1" applyAlignment="1">
      <alignment horizontal="center" wrapText="1"/>
    </xf>
    <xf numFmtId="174" fontId="30" fillId="0" borderId="0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1" fillId="0" borderId="18" xfId="0" applyFont="1" applyBorder="1" applyAlignment="1">
      <alignment/>
    </xf>
    <xf numFmtId="3" fontId="31" fillId="0" borderId="19" xfId="0" applyNumberFormat="1" applyFont="1" applyBorder="1" applyAlignment="1">
      <alignment horizontal="center"/>
    </xf>
    <xf numFmtId="0" fontId="31" fillId="0" borderId="60" xfId="0" applyFont="1" applyBorder="1" applyAlignment="1">
      <alignment/>
    </xf>
    <xf numFmtId="3" fontId="32" fillId="0" borderId="61" xfId="0" applyNumberFormat="1" applyFont="1" applyBorder="1" applyAlignment="1">
      <alignment horizontal="center" wrapText="1"/>
    </xf>
    <xf numFmtId="3" fontId="32" fillId="0" borderId="83" xfId="0" applyNumberFormat="1" applyFont="1" applyBorder="1" applyAlignment="1">
      <alignment horizontal="center" wrapText="1"/>
    </xf>
    <xf numFmtId="3" fontId="31" fillId="0" borderId="83" xfId="0" applyNumberFormat="1" applyFont="1" applyBorder="1" applyAlignment="1">
      <alignment horizontal="center" wrapText="1"/>
    </xf>
    <xf numFmtId="0" fontId="31" fillId="0" borderId="60" xfId="0" applyFont="1" applyBorder="1" applyAlignment="1">
      <alignment horizontal="center" wrapText="1"/>
    </xf>
    <xf numFmtId="0" fontId="60" fillId="0" borderId="0" xfId="0" applyFont="1" applyAlignment="1">
      <alignment/>
    </xf>
    <xf numFmtId="3" fontId="60" fillId="0" borderId="116" xfId="0" applyNumberFormat="1" applyFont="1" applyBorder="1" applyAlignment="1">
      <alignment wrapText="1"/>
    </xf>
    <xf numFmtId="3" fontId="60" fillId="0" borderId="34" xfId="0" applyNumberFormat="1" applyFont="1" applyBorder="1" applyAlignment="1">
      <alignment wrapText="1"/>
    </xf>
    <xf numFmtId="174" fontId="60" fillId="0" borderId="34" xfId="0" applyNumberFormat="1" applyFont="1" applyBorder="1" applyAlignment="1">
      <alignment wrapText="1"/>
    </xf>
    <xf numFmtId="174" fontId="60" fillId="0" borderId="35" xfId="0" applyNumberFormat="1" applyFont="1" applyBorder="1" applyAlignment="1">
      <alignment wrapText="1"/>
    </xf>
    <xf numFmtId="3" fontId="51" fillId="0" borderId="33" xfId="0" applyNumberFormat="1" applyFont="1" applyBorder="1" applyAlignment="1">
      <alignment wrapText="1"/>
    </xf>
    <xf numFmtId="3" fontId="51" fillId="0" borderId="0" xfId="0" applyNumberFormat="1" applyFont="1" applyBorder="1" applyAlignment="1">
      <alignment wrapText="1"/>
    </xf>
    <xf numFmtId="3" fontId="60" fillId="0" borderId="0" xfId="0" applyNumberFormat="1" applyFont="1" applyBorder="1" applyAlignment="1">
      <alignment wrapText="1"/>
    </xf>
    <xf numFmtId="3" fontId="60" fillId="0" borderId="0" xfId="0" applyNumberFormat="1" applyFont="1" applyFill="1" applyBorder="1" applyAlignment="1">
      <alignment horizontal="center" wrapText="1"/>
    </xf>
    <xf numFmtId="174" fontId="51" fillId="0" borderId="60" xfId="0" applyNumberFormat="1" applyFont="1" applyBorder="1" applyAlignment="1">
      <alignment/>
    </xf>
    <xf numFmtId="4" fontId="65" fillId="0" borderId="11" xfId="0" applyNumberFormat="1" applyFont="1" applyBorder="1" applyAlignment="1">
      <alignment horizontal="right"/>
    </xf>
    <xf numFmtId="4" fontId="74" fillId="0" borderId="12" xfId="0" applyNumberFormat="1" applyFont="1" applyBorder="1" applyAlignment="1" quotePrefix="1">
      <alignment horizontal="right"/>
    </xf>
    <xf numFmtId="4" fontId="74" fillId="0" borderId="14" xfId="0" applyNumberFormat="1" applyFont="1" applyBorder="1" applyAlignment="1">
      <alignment horizontal="right"/>
    </xf>
    <xf numFmtId="4" fontId="75" fillId="0" borderId="114" xfId="0" applyNumberFormat="1" applyFont="1" applyBorder="1" applyAlignment="1" quotePrefix="1">
      <alignment horizontal="right"/>
    </xf>
    <xf numFmtId="2" fontId="65" fillId="0" borderId="11" xfId="0" applyNumberFormat="1" applyFont="1" applyBorder="1" applyAlignment="1">
      <alignment horizontal="right"/>
    </xf>
    <xf numFmtId="2" fontId="74" fillId="0" borderId="12" xfId="0" applyNumberFormat="1" applyFont="1" applyBorder="1" applyAlignment="1" quotePrefix="1">
      <alignment horizontal="right"/>
    </xf>
    <xf numFmtId="2" fontId="74" fillId="0" borderId="14" xfId="0" applyNumberFormat="1" applyFont="1" applyBorder="1" applyAlignment="1">
      <alignment horizontal="right"/>
    </xf>
    <xf numFmtId="177" fontId="35" fillId="0" borderId="13" xfId="0" applyNumberFormat="1" applyFont="1" applyBorder="1" applyAlignment="1">
      <alignment/>
    </xf>
    <xf numFmtId="177" fontId="29" fillId="0" borderId="17" xfId="0" applyNumberFormat="1" applyFont="1" applyBorder="1" applyAlignment="1">
      <alignment horizontal="right"/>
    </xf>
    <xf numFmtId="1" fontId="37" fillId="0" borderId="17" xfId="0" applyNumberFormat="1" applyFont="1" applyBorder="1" applyAlignment="1">
      <alignment horizontal="right"/>
    </xf>
    <xf numFmtId="1" fontId="29" fillId="0" borderId="17" xfId="0" applyNumberFormat="1" applyFont="1" applyBorder="1" applyAlignment="1">
      <alignment horizontal="right"/>
    </xf>
    <xf numFmtId="177" fontId="37" fillId="0" borderId="17" xfId="0" applyNumberFormat="1" applyFont="1" applyBorder="1" applyAlignment="1">
      <alignment horizontal="right"/>
    </xf>
    <xf numFmtId="1" fontId="29" fillId="0" borderId="49" xfId="0" applyNumberFormat="1" applyFont="1" applyBorder="1" applyAlignment="1">
      <alignment horizontal="right"/>
    </xf>
    <xf numFmtId="172" fontId="12" fillId="0" borderId="19" xfId="0" applyNumberFormat="1" applyFont="1" applyFill="1" applyBorder="1" applyAlignment="1">
      <alignment/>
    </xf>
    <xf numFmtId="177" fontId="37" fillId="0" borderId="31" xfId="0" applyNumberFormat="1" applyFont="1" applyFill="1" applyBorder="1" applyAlignment="1">
      <alignment horizontal="right"/>
    </xf>
    <xf numFmtId="1" fontId="37" fillId="0" borderId="0" xfId="0" applyNumberFormat="1" applyFont="1" applyFill="1" applyBorder="1" applyAlignment="1">
      <alignment horizontal="right"/>
    </xf>
    <xf numFmtId="0" fontId="37" fillId="0" borderId="13" xfId="0" applyNumberFormat="1" applyFont="1" applyBorder="1" applyAlignment="1">
      <alignment/>
    </xf>
    <xf numFmtId="177" fontId="37" fillId="0" borderId="0" xfId="0" applyNumberFormat="1" applyFont="1" applyBorder="1" applyAlignment="1">
      <alignment horizontal="right"/>
    </xf>
    <xf numFmtId="1" fontId="37" fillId="0" borderId="0" xfId="0" applyNumberFormat="1" applyFont="1" applyFill="1" applyBorder="1" applyAlignment="1">
      <alignment/>
    </xf>
    <xf numFmtId="172" fontId="37" fillId="0" borderId="19" xfId="0" applyNumberFormat="1" applyFont="1" applyFill="1" applyBorder="1" applyAlignment="1">
      <alignment/>
    </xf>
    <xf numFmtId="172" fontId="37" fillId="0" borderId="13" xfId="0" applyNumberFormat="1" applyFont="1" applyBorder="1" applyAlignment="1">
      <alignment/>
    </xf>
    <xf numFmtId="3" fontId="37" fillId="0" borderId="53" xfId="0" applyNumberFormat="1" applyFont="1" applyBorder="1" applyAlignment="1" quotePrefix="1">
      <alignment/>
    </xf>
    <xf numFmtId="3" fontId="37" fillId="0" borderId="99" xfId="0" applyNumberFormat="1" applyFont="1" applyBorder="1" applyAlignment="1">
      <alignment horizontal="right"/>
    </xf>
    <xf numFmtId="3" fontId="37" fillId="0" borderId="88" xfId="0" applyNumberFormat="1" applyFont="1" applyBorder="1" applyAlignment="1">
      <alignment/>
    </xf>
    <xf numFmtId="0" fontId="66" fillId="0" borderId="16" xfId="0" applyFont="1" applyBorder="1" applyAlignment="1" quotePrefix="1">
      <alignment horizontal="right"/>
    </xf>
    <xf numFmtId="3" fontId="32" fillId="0" borderId="18" xfId="0" applyNumberFormat="1" applyFont="1" applyFill="1" applyBorder="1" applyAlignment="1">
      <alignment/>
    </xf>
    <xf numFmtId="3" fontId="32" fillId="0" borderId="13" xfId="0" applyNumberFormat="1" applyFont="1" applyFill="1" applyBorder="1" applyAlignment="1">
      <alignment/>
    </xf>
    <xf numFmtId="0" fontId="83" fillId="0" borderId="71" xfId="56" applyFont="1" applyBorder="1" applyAlignment="1">
      <alignment/>
    </xf>
    <xf numFmtId="3" fontId="16" fillId="0" borderId="47" xfId="56" applyNumberFormat="1" applyFont="1" applyBorder="1" applyAlignment="1">
      <alignment/>
    </xf>
    <xf numFmtId="3" fontId="34" fillId="0" borderId="46" xfId="56" applyNumberFormat="1" applyFont="1" applyBorder="1" applyAlignment="1">
      <alignment horizontal="right"/>
    </xf>
    <xf numFmtId="3" fontId="34" fillId="0" borderId="29" xfId="56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3" fontId="4" fillId="0" borderId="30" xfId="44" applyNumberFormat="1" applyFont="1" applyBorder="1" applyAlignment="1">
      <alignment/>
    </xf>
    <xf numFmtId="0" fontId="30" fillId="0" borderId="30" xfId="0" applyFont="1" applyBorder="1" applyAlignment="1">
      <alignment/>
    </xf>
    <xf numFmtId="3" fontId="30" fillId="0" borderId="30" xfId="0" applyNumberFormat="1" applyFont="1" applyBorder="1" applyAlignment="1">
      <alignment/>
    </xf>
    <xf numFmtId="0" fontId="31" fillId="0" borderId="0" xfId="0" applyFont="1" applyFill="1" applyAlignment="1">
      <alignment/>
    </xf>
    <xf numFmtId="3" fontId="32" fillId="0" borderId="104" xfId="0" applyNumberFormat="1" applyFont="1" applyFill="1" applyBorder="1" applyAlignment="1">
      <alignment horizontal="center"/>
    </xf>
    <xf numFmtId="3" fontId="32" fillId="0" borderId="37" xfId="0" applyNumberFormat="1" applyFont="1" applyFill="1" applyBorder="1" applyAlignment="1">
      <alignment horizontal="center"/>
    </xf>
    <xf numFmtId="3" fontId="32" fillId="0" borderId="38" xfId="0" applyNumberFormat="1" applyFont="1" applyFill="1" applyBorder="1" applyAlignment="1">
      <alignment horizontal="center"/>
    </xf>
    <xf numFmtId="3" fontId="33" fillId="0" borderId="120" xfId="0" applyNumberFormat="1" applyFont="1" applyFill="1" applyBorder="1" applyAlignment="1">
      <alignment horizontal="center"/>
    </xf>
    <xf numFmtId="3" fontId="33" fillId="0" borderId="119" xfId="0" applyNumberFormat="1" applyFont="1" applyFill="1" applyBorder="1" applyAlignment="1">
      <alignment horizontal="center"/>
    </xf>
    <xf numFmtId="3" fontId="45" fillId="0" borderId="9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3" fontId="32" fillId="0" borderId="11" xfId="0" applyNumberFormat="1" applyFont="1" applyFill="1" applyBorder="1" applyAlignment="1">
      <alignment horizontal="center"/>
    </xf>
    <xf numFmtId="3" fontId="33" fillId="0" borderId="14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1" fillId="0" borderId="30" xfId="56" applyFont="1" applyBorder="1" applyAlignment="1">
      <alignment/>
    </xf>
    <xf numFmtId="3" fontId="31" fillId="0" borderId="30" xfId="56" applyNumberFormat="1" applyFont="1" applyBorder="1" applyAlignment="1">
      <alignment/>
    </xf>
    <xf numFmtId="3" fontId="31" fillId="0" borderId="30" xfId="0" applyNumberFormat="1" applyFont="1" applyBorder="1" applyAlignment="1">
      <alignment/>
    </xf>
    <xf numFmtId="3" fontId="32" fillId="0" borderId="85" xfId="56" applyNumberFormat="1" applyFont="1" applyBorder="1" applyAlignment="1">
      <alignment horizontal="right"/>
    </xf>
    <xf numFmtId="0" fontId="31" fillId="0" borderId="55" xfId="0" applyFont="1" applyBorder="1" applyAlignment="1">
      <alignment/>
    </xf>
    <xf numFmtId="0" fontId="31" fillId="0" borderId="43" xfId="0" applyFont="1" applyBorder="1" applyAlignment="1">
      <alignment/>
    </xf>
    <xf numFmtId="3" fontId="31" fillId="0" borderId="34" xfId="0" applyNumberFormat="1" applyFont="1" applyBorder="1" applyAlignment="1">
      <alignment/>
    </xf>
    <xf numFmtId="3" fontId="32" fillId="0" borderId="35" xfId="0" applyNumberFormat="1" applyFont="1" applyBorder="1" applyAlignment="1">
      <alignment horizontal="right"/>
    </xf>
    <xf numFmtId="3" fontId="31" fillId="0" borderId="30" xfId="0" applyNumberFormat="1" applyFont="1" applyBorder="1" applyAlignment="1" quotePrefix="1">
      <alignment horizontal="right"/>
    </xf>
    <xf numFmtId="3" fontId="31" fillId="0" borderId="34" xfId="0" applyNumberFormat="1" applyFont="1" applyBorder="1" applyAlignment="1" quotePrefix="1">
      <alignment horizontal="right"/>
    </xf>
    <xf numFmtId="3" fontId="34" fillId="0" borderId="0" xfId="0" applyNumberFormat="1" applyFont="1" applyAlignment="1">
      <alignment horizontal="right"/>
    </xf>
    <xf numFmtId="3" fontId="41" fillId="0" borderId="119" xfId="0" applyNumberFormat="1" applyFont="1" applyBorder="1" applyAlignment="1">
      <alignment horizontal="center"/>
    </xf>
    <xf numFmtId="3" fontId="34" fillId="0" borderId="15" xfId="0" applyNumberFormat="1" applyFont="1" applyBorder="1" applyAlignment="1">
      <alignment/>
    </xf>
    <xf numFmtId="3" fontId="34" fillId="0" borderId="32" xfId="0" applyNumberFormat="1" applyFont="1" applyBorder="1" applyAlignment="1">
      <alignment horizontal="right"/>
    </xf>
    <xf numFmtId="3" fontId="41" fillId="0" borderId="55" xfId="0" applyNumberFormat="1" applyFont="1" applyBorder="1" applyAlignment="1">
      <alignment/>
    </xf>
    <xf numFmtId="3" fontId="34" fillId="0" borderId="40" xfId="0" applyNumberFormat="1" applyFont="1" applyBorder="1" applyAlignment="1">
      <alignment horizontal="right"/>
    </xf>
    <xf numFmtId="3" fontId="34" fillId="0" borderId="58" xfId="0" applyNumberFormat="1" applyFont="1" applyBorder="1" applyAlignment="1">
      <alignment/>
    </xf>
    <xf numFmtId="3" fontId="34" fillId="0" borderId="41" xfId="0" applyNumberFormat="1" applyFont="1" applyBorder="1" applyAlignment="1">
      <alignment horizontal="right"/>
    </xf>
    <xf numFmtId="3" fontId="34" fillId="0" borderId="39" xfId="0" applyNumberFormat="1" applyFont="1" applyBorder="1" applyAlignment="1">
      <alignment horizontal="right"/>
    </xf>
    <xf numFmtId="3" fontId="41" fillId="0" borderId="33" xfId="0" applyNumberFormat="1" applyFont="1" applyBorder="1" applyAlignment="1">
      <alignment/>
    </xf>
    <xf numFmtId="3" fontId="41" fillId="0" borderId="55" xfId="0" applyNumberFormat="1" applyFont="1" applyFill="1" applyBorder="1" applyAlignment="1">
      <alignment/>
    </xf>
    <xf numFmtId="3" fontId="34" fillId="0" borderId="58" xfId="0" applyNumberFormat="1" applyFont="1" applyFill="1" applyBorder="1" applyAlignment="1">
      <alignment/>
    </xf>
    <xf numFmtId="3" fontId="34" fillId="0" borderId="55" xfId="0" applyNumberFormat="1" applyFont="1" applyBorder="1" applyAlignment="1">
      <alignment/>
    </xf>
    <xf numFmtId="3" fontId="41" fillId="0" borderId="43" xfId="0" applyNumberFormat="1" applyFont="1" applyBorder="1" applyAlignment="1">
      <alignment/>
    </xf>
    <xf numFmtId="3" fontId="34" fillId="0" borderId="52" xfId="0" applyNumberFormat="1" applyFont="1" applyBorder="1" applyAlignment="1">
      <alignment horizontal="right"/>
    </xf>
    <xf numFmtId="3" fontId="34" fillId="0" borderId="40" xfId="0" applyNumberFormat="1" applyFont="1" applyBorder="1" applyAlignment="1" quotePrefix="1">
      <alignment horizontal="right"/>
    </xf>
    <xf numFmtId="3" fontId="34" fillId="0" borderId="39" xfId="0" applyNumberFormat="1" applyFont="1" applyBorder="1" applyAlignment="1">
      <alignment/>
    </xf>
    <xf numFmtId="3" fontId="34" fillId="0" borderId="40" xfId="0" applyNumberFormat="1" applyFont="1" applyBorder="1" applyAlignment="1">
      <alignment/>
    </xf>
    <xf numFmtId="3" fontId="34" fillId="0" borderId="41" xfId="0" applyNumberFormat="1" applyFont="1" applyBorder="1" applyAlignment="1">
      <alignment/>
    </xf>
    <xf numFmtId="3" fontId="34" fillId="0" borderId="52" xfId="0" applyNumberFormat="1" applyFont="1" applyBorder="1" applyAlignment="1">
      <alignment/>
    </xf>
    <xf numFmtId="3" fontId="37" fillId="0" borderId="60" xfId="0" applyNumberFormat="1" applyFont="1" applyFill="1" applyBorder="1" applyAlignment="1">
      <alignment horizontal="right"/>
    </xf>
    <xf numFmtId="4" fontId="48" fillId="0" borderId="18" xfId="0" applyNumberFormat="1" applyFont="1" applyFill="1" applyBorder="1" applyAlignment="1">
      <alignment/>
    </xf>
    <xf numFmtId="4" fontId="48" fillId="0" borderId="19" xfId="0" applyNumberFormat="1" applyFont="1" applyFill="1" applyBorder="1" applyAlignment="1">
      <alignment/>
    </xf>
    <xf numFmtId="3" fontId="48" fillId="0" borderId="18" xfId="0" applyNumberFormat="1" applyFont="1" applyFill="1" applyBorder="1" applyAlignment="1">
      <alignment horizontal="right"/>
    </xf>
    <xf numFmtId="3" fontId="48" fillId="0" borderId="19" xfId="0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2" fontId="71" fillId="0" borderId="6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/>
    </xf>
    <xf numFmtId="3" fontId="11" fillId="0" borderId="16" xfId="0" applyNumberFormat="1" applyFont="1" applyFill="1" applyBorder="1" applyAlignment="1" quotePrefix="1">
      <alignment horizontal="right"/>
    </xf>
    <xf numFmtId="3" fontId="11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1" fillId="0" borderId="8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11" fillId="0" borderId="17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quotePrefix="1">
      <alignment horizontal="right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1" xfId="0" applyNumberFormat="1" applyFont="1" applyFill="1" applyBorder="1" applyAlignment="1">
      <alignment horizontal="center"/>
    </xf>
    <xf numFmtId="3" fontId="19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3" fontId="10" fillId="0" borderId="31" xfId="0" applyNumberFormat="1" applyFont="1" applyFill="1" applyBorder="1" applyAlignment="1" quotePrefix="1">
      <alignment horizontal="right"/>
    </xf>
    <xf numFmtId="3" fontId="10" fillId="0" borderId="54" xfId="0" applyNumberFormat="1" applyFont="1" applyFill="1" applyBorder="1" applyAlignment="1" quotePrefix="1">
      <alignment horizontal="right"/>
    </xf>
    <xf numFmtId="3" fontId="10" fillId="0" borderId="17" xfId="0" applyNumberFormat="1" applyFont="1" applyFill="1" applyBorder="1" applyAlignment="1" quotePrefix="1">
      <alignment horizontal="right"/>
    </xf>
    <xf numFmtId="3" fontId="10" fillId="0" borderId="0" xfId="0" applyNumberFormat="1" applyFont="1" applyFill="1" applyBorder="1" applyAlignment="1" quotePrefix="1">
      <alignment horizontal="right"/>
    </xf>
    <xf numFmtId="3" fontId="14" fillId="0" borderId="17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 quotePrefix="1">
      <alignment horizontal="right"/>
    </xf>
    <xf numFmtId="3" fontId="30" fillId="0" borderId="60" xfId="0" applyNumberFormat="1" applyFont="1" applyBorder="1" applyAlignment="1">
      <alignment/>
    </xf>
    <xf numFmtId="3" fontId="48" fillId="0" borderId="60" xfId="0" applyNumberFormat="1" applyFont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right"/>
    </xf>
    <xf numFmtId="3" fontId="32" fillId="0" borderId="17" xfId="0" applyNumberFormat="1" applyFont="1" applyFill="1" applyBorder="1" applyAlignment="1">
      <alignment horizontal="right"/>
    </xf>
    <xf numFmtId="4" fontId="29" fillId="0" borderId="0" xfId="0" applyNumberFormat="1" applyFont="1" applyAlignment="1">
      <alignment/>
    </xf>
    <xf numFmtId="0" fontId="43" fillId="38" borderId="15" xfId="0" applyFont="1" applyFill="1" applyBorder="1" applyAlignment="1">
      <alignment/>
    </xf>
    <xf numFmtId="0" fontId="43" fillId="38" borderId="31" xfId="0" applyFont="1" applyFill="1" applyBorder="1" applyAlignment="1">
      <alignment/>
    </xf>
    <xf numFmtId="0" fontId="43" fillId="38" borderId="32" xfId="0" applyFont="1" applyFill="1" applyBorder="1" applyAlignment="1">
      <alignment/>
    </xf>
    <xf numFmtId="0" fontId="36" fillId="38" borderId="33" xfId="0" applyFont="1" applyFill="1" applyBorder="1" applyAlignment="1">
      <alignment/>
    </xf>
    <xf numFmtId="0" fontId="43" fillId="38" borderId="0" xfId="0" applyFont="1" applyFill="1" applyBorder="1" applyAlignment="1">
      <alignment/>
    </xf>
    <xf numFmtId="0" fontId="36" fillId="38" borderId="0" xfId="0" applyFont="1" applyFill="1" applyBorder="1" applyAlignment="1">
      <alignment/>
    </xf>
    <xf numFmtId="0" fontId="36" fillId="38" borderId="39" xfId="0" applyFont="1" applyFill="1" applyBorder="1" applyAlignment="1">
      <alignment/>
    </xf>
    <xf numFmtId="3" fontId="35" fillId="38" borderId="13" xfId="0" applyNumberFormat="1" applyFont="1" applyFill="1" applyBorder="1" applyAlignment="1">
      <alignment/>
    </xf>
    <xf numFmtId="3" fontId="35" fillId="38" borderId="18" xfId="0" applyNumberFormat="1" applyFont="1" applyFill="1" applyBorder="1" applyAlignment="1">
      <alignment/>
    </xf>
    <xf numFmtId="0" fontId="43" fillId="38" borderId="33" xfId="0" applyFont="1" applyFill="1" applyBorder="1" applyAlignment="1">
      <alignment/>
    </xf>
    <xf numFmtId="0" fontId="43" fillId="38" borderId="39" xfId="0" applyFont="1" applyFill="1" applyBorder="1" applyAlignment="1">
      <alignment/>
    </xf>
    <xf numFmtId="0" fontId="36" fillId="38" borderId="43" xfId="0" applyFont="1" applyFill="1" applyBorder="1" applyAlignment="1">
      <alignment/>
    </xf>
    <xf numFmtId="0" fontId="36" fillId="38" borderId="36" xfId="0" applyFont="1" applyFill="1" applyBorder="1" applyAlignment="1">
      <alignment/>
    </xf>
    <xf numFmtId="0" fontId="36" fillId="38" borderId="52" xfId="0" applyFont="1" applyFill="1" applyBorder="1" applyAlignment="1">
      <alignment/>
    </xf>
    <xf numFmtId="172" fontId="34" fillId="0" borderId="16" xfId="0" applyNumberFormat="1" applyFont="1" applyBorder="1" applyAlignment="1" quotePrefix="1">
      <alignment horizontal="right"/>
    </xf>
    <xf numFmtId="172" fontId="12" fillId="0" borderId="18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31" xfId="0" applyNumberFormat="1" applyFont="1" applyBorder="1" applyAlignment="1">
      <alignment/>
    </xf>
    <xf numFmtId="3" fontId="16" fillId="0" borderId="54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172" fontId="11" fillId="0" borderId="16" xfId="0" applyNumberFormat="1" applyFont="1" applyFill="1" applyBorder="1" applyAlignment="1" quotePrefix="1">
      <alignment horizontal="right"/>
    </xf>
    <xf numFmtId="0" fontId="34" fillId="0" borderId="36" xfId="0" applyFont="1" applyFill="1" applyBorder="1" applyAlignment="1">
      <alignment horizontal="right"/>
    </xf>
    <xf numFmtId="0" fontId="34" fillId="0" borderId="80" xfId="0" applyFont="1" applyFill="1" applyBorder="1" applyAlignment="1">
      <alignment horizontal="right"/>
    </xf>
    <xf numFmtId="172" fontId="35" fillId="0" borderId="16" xfId="0" applyNumberFormat="1" applyFont="1" applyFill="1" applyBorder="1" applyAlignment="1" quotePrefix="1">
      <alignment horizontal="right"/>
    </xf>
    <xf numFmtId="172" fontId="34" fillId="0" borderId="16" xfId="0" applyNumberFormat="1" applyFont="1" applyFill="1" applyBorder="1" applyAlignment="1" quotePrefix="1">
      <alignment horizontal="right"/>
    </xf>
    <xf numFmtId="0" fontId="35" fillId="0" borderId="13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3" fontId="44" fillId="0" borderId="0" xfId="0" applyNumberFormat="1" applyFont="1" applyFill="1" applyAlignment="1">
      <alignment/>
    </xf>
    <xf numFmtId="0" fontId="34" fillId="0" borderId="1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3" fontId="35" fillId="0" borderId="18" xfId="0" applyNumberFormat="1" applyFont="1" applyFill="1" applyBorder="1" applyAlignment="1" quotePrefix="1">
      <alignment horizontal="right"/>
    </xf>
    <xf numFmtId="0" fontId="42" fillId="0" borderId="19" xfId="0" applyFont="1" applyFill="1" applyBorder="1" applyAlignment="1">
      <alignment horizontal="center"/>
    </xf>
    <xf numFmtId="3" fontId="43" fillId="0" borderId="0" xfId="0" applyNumberFormat="1" applyFont="1" applyFill="1" applyAlignment="1">
      <alignment/>
    </xf>
    <xf numFmtId="3" fontId="35" fillId="0" borderId="21" xfId="0" applyNumberFormat="1" applyFont="1" applyFill="1" applyBorder="1" applyAlignment="1">
      <alignment/>
    </xf>
    <xf numFmtId="0" fontId="42" fillId="0" borderId="32" xfId="0" applyFont="1" applyFill="1" applyBorder="1" applyAlignment="1">
      <alignment/>
    </xf>
    <xf numFmtId="3" fontId="34" fillId="0" borderId="22" xfId="0" applyNumberFormat="1" applyFont="1" applyFill="1" applyBorder="1" applyAlignment="1">
      <alignment/>
    </xf>
    <xf numFmtId="3" fontId="82" fillId="0" borderId="17" xfId="0" applyNumberFormat="1" applyFont="1" applyFill="1" applyBorder="1" applyAlignment="1">
      <alignment/>
    </xf>
    <xf numFmtId="0" fontId="41" fillId="0" borderId="39" xfId="0" applyFont="1" applyFill="1" applyBorder="1" applyAlignment="1">
      <alignment/>
    </xf>
    <xf numFmtId="3" fontId="35" fillId="0" borderId="22" xfId="0" applyNumberFormat="1" applyFont="1" applyFill="1" applyBorder="1" applyAlignment="1">
      <alignment/>
    </xf>
    <xf numFmtId="3" fontId="81" fillId="0" borderId="17" xfId="0" applyNumberFormat="1" applyFont="1" applyFill="1" applyBorder="1" applyAlignment="1">
      <alignment/>
    </xf>
    <xf numFmtId="0" fontId="42" fillId="0" borderId="39" xfId="0" applyFont="1" applyFill="1" applyBorder="1" applyAlignment="1">
      <alignment/>
    </xf>
    <xf numFmtId="3" fontId="82" fillId="0" borderId="17" xfId="0" applyNumberFormat="1" applyFont="1" applyFill="1" applyBorder="1" applyAlignment="1" quotePrefix="1">
      <alignment horizontal="right"/>
    </xf>
    <xf numFmtId="0" fontId="34" fillId="0" borderId="22" xfId="0" applyFont="1" applyFill="1" applyBorder="1" applyAlignment="1">
      <alignment/>
    </xf>
    <xf numFmtId="3" fontId="82" fillId="0" borderId="17" xfId="0" applyNumberFormat="1" applyFont="1" applyFill="1" applyBorder="1" applyAlignment="1">
      <alignment/>
    </xf>
    <xf numFmtId="0" fontId="35" fillId="0" borderId="22" xfId="0" applyFont="1" applyFill="1" applyBorder="1" applyAlignment="1">
      <alignment/>
    </xf>
    <xf numFmtId="3" fontId="81" fillId="0" borderId="17" xfId="0" applyNumberFormat="1" applyFont="1" applyFill="1" applyBorder="1" applyAlignment="1">
      <alignment/>
    </xf>
    <xf numFmtId="0" fontId="35" fillId="0" borderId="39" xfId="0" applyFont="1" applyFill="1" applyBorder="1" applyAlignment="1">
      <alignment/>
    </xf>
    <xf numFmtId="0" fontId="34" fillId="0" borderId="23" xfId="0" applyFont="1" applyFill="1" applyBorder="1" applyAlignment="1">
      <alignment/>
    </xf>
    <xf numFmtId="3" fontId="34" fillId="0" borderId="49" xfId="0" applyNumberFormat="1" applyFont="1" applyFill="1" applyBorder="1" applyAlignment="1" quotePrefix="1">
      <alignment horizontal="right"/>
    </xf>
    <xf numFmtId="3" fontId="35" fillId="0" borderId="36" xfId="0" applyNumberFormat="1" applyFont="1" applyFill="1" applyBorder="1" applyAlignment="1" quotePrefix="1">
      <alignment horizontal="right"/>
    </xf>
    <xf numFmtId="3" fontId="35" fillId="0" borderId="80" xfId="0" applyNumberFormat="1" applyFont="1" applyFill="1" applyBorder="1" applyAlignment="1" quotePrefix="1">
      <alignment horizontal="right"/>
    </xf>
    <xf numFmtId="0" fontId="41" fillId="0" borderId="52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3" fontId="35" fillId="0" borderId="13" xfId="0" applyNumberFormat="1" applyFont="1" applyFill="1" applyBorder="1" applyAlignment="1" quotePrefix="1">
      <alignment horizontal="right"/>
    </xf>
    <xf numFmtId="3" fontId="35" fillId="0" borderId="19" xfId="0" applyNumberFormat="1" applyFont="1" applyFill="1" applyBorder="1" applyAlignment="1" quotePrefix="1">
      <alignment horizontal="right"/>
    </xf>
    <xf numFmtId="3" fontId="35" fillId="0" borderId="54" xfId="0" applyNumberFormat="1" applyFont="1" applyFill="1" applyBorder="1" applyAlignment="1">
      <alignment/>
    </xf>
    <xf numFmtId="1" fontId="34" fillId="0" borderId="0" xfId="0" applyNumberFormat="1" applyFont="1" applyFill="1" applyBorder="1" applyAlignment="1">
      <alignment/>
    </xf>
    <xf numFmtId="0" fontId="34" fillId="0" borderId="16" xfId="0" applyFont="1" applyFill="1" applyBorder="1" applyAlignment="1">
      <alignment/>
    </xf>
    <xf numFmtId="3" fontId="35" fillId="0" borderId="49" xfId="0" applyNumberFormat="1" applyFont="1" applyFill="1" applyBorder="1" applyAlignment="1" quotePrefix="1">
      <alignment horizontal="right"/>
    </xf>
    <xf numFmtId="177" fontId="29" fillId="0" borderId="80" xfId="0" applyNumberFormat="1" applyFont="1" applyBorder="1" applyAlignment="1">
      <alignment/>
    </xf>
    <xf numFmtId="172" fontId="29" fillId="0" borderId="0" xfId="0" applyNumberFormat="1" applyFont="1" applyFill="1" applyBorder="1" applyAlignment="1" quotePrefix="1">
      <alignment horizontal="right"/>
    </xf>
    <xf numFmtId="172" fontId="37" fillId="0" borderId="19" xfId="0" applyNumberFormat="1" applyFont="1" applyBorder="1" applyAlignment="1">
      <alignment horizontal="right"/>
    </xf>
    <xf numFmtId="172" fontId="37" fillId="0" borderId="54" xfId="0" applyNumberFormat="1" applyFont="1" applyBorder="1" applyAlignment="1">
      <alignment horizontal="right"/>
    </xf>
    <xf numFmtId="172" fontId="37" fillId="0" borderId="16" xfId="0" applyNumberFormat="1" applyFont="1" applyBorder="1" applyAlignment="1" quotePrefix="1">
      <alignment horizontal="right"/>
    </xf>
    <xf numFmtId="0" fontId="14" fillId="0" borderId="17" xfId="0" applyFont="1" applyFill="1" applyBorder="1" applyAlignment="1" quotePrefix="1">
      <alignment horizontal="right"/>
    </xf>
    <xf numFmtId="0" fontId="14" fillId="0" borderId="16" xfId="0" applyFont="1" applyFill="1" applyBorder="1" applyAlignment="1" quotePrefix="1">
      <alignment horizontal="right"/>
    </xf>
    <xf numFmtId="177" fontId="10" fillId="0" borderId="31" xfId="0" applyNumberFormat="1" applyFont="1" applyBorder="1" applyAlignment="1">
      <alignment/>
    </xf>
    <xf numFmtId="177" fontId="10" fillId="0" borderId="16" xfId="0" applyNumberFormat="1" applyFont="1" applyBorder="1" applyAlignment="1">
      <alignment horizontal="right"/>
    </xf>
    <xf numFmtId="0" fontId="29" fillId="0" borderId="49" xfId="0" applyFont="1" applyBorder="1" applyAlignment="1">
      <alignment horizontal="right"/>
    </xf>
    <xf numFmtId="172" fontId="10" fillId="0" borderId="16" xfId="0" applyNumberFormat="1" applyFont="1" applyBorder="1" applyAlignment="1" quotePrefix="1">
      <alignment horizontal="right"/>
    </xf>
    <xf numFmtId="172" fontId="10" fillId="0" borderId="19" xfId="0" applyNumberFormat="1" applyFont="1" applyBorder="1" applyAlignment="1">
      <alignment/>
    </xf>
    <xf numFmtId="0" fontId="21" fillId="0" borderId="0" xfId="0" applyFont="1" applyFill="1" applyAlignment="1" quotePrefix="1">
      <alignment horizontal="right"/>
    </xf>
    <xf numFmtId="172" fontId="10" fillId="0" borderId="19" xfId="0" applyNumberFormat="1" applyFont="1" applyFill="1" applyBorder="1" applyAlignment="1">
      <alignment/>
    </xf>
    <xf numFmtId="172" fontId="30" fillId="0" borderId="0" xfId="0" applyNumberFormat="1" applyFont="1" applyBorder="1" applyAlignment="1" quotePrefix="1">
      <alignment horizontal="right"/>
    </xf>
    <xf numFmtId="0" fontId="29" fillId="0" borderId="13" xfId="0" applyFont="1" applyBorder="1" applyAlignment="1">
      <alignment/>
    </xf>
    <xf numFmtId="3" fontId="37" fillId="0" borderId="88" xfId="0" applyNumberFormat="1" applyFont="1" applyBorder="1" applyAlignment="1" quotePrefix="1">
      <alignment/>
    </xf>
    <xf numFmtId="0" fontId="29" fillId="0" borderId="51" xfId="0" applyFont="1" applyBorder="1" applyAlignment="1" quotePrefix="1">
      <alignment horizontal="right"/>
    </xf>
    <xf numFmtId="0" fontId="0" fillId="0" borderId="18" xfId="0" applyBorder="1" applyAlignment="1">
      <alignment/>
    </xf>
    <xf numFmtId="172" fontId="65" fillId="0" borderId="19" xfId="0" applyNumberFormat="1" applyFont="1" applyBorder="1" applyAlignment="1">
      <alignment/>
    </xf>
    <xf numFmtId="3" fontId="49" fillId="0" borderId="43" xfId="0" applyNumberFormat="1" applyFont="1" applyBorder="1" applyAlignment="1">
      <alignment horizontal="center"/>
    </xf>
    <xf numFmtId="3" fontId="49" fillId="0" borderId="52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32" xfId="0" applyNumberFormat="1" applyFont="1" applyBorder="1" applyAlignment="1">
      <alignment horizontal="center"/>
    </xf>
    <xf numFmtId="3" fontId="27" fillId="0" borderId="33" xfId="0" applyNumberFormat="1" applyFont="1" applyBorder="1" applyAlignment="1">
      <alignment horizontal="center"/>
    </xf>
    <xf numFmtId="3" fontId="30" fillId="0" borderId="32" xfId="0" applyNumberFormat="1" applyFont="1" applyBorder="1" applyAlignment="1">
      <alignment horizontal="center"/>
    </xf>
    <xf numFmtId="3" fontId="30" fillId="0" borderId="39" xfId="0" applyNumberFormat="1" applyFont="1" applyBorder="1" applyAlignment="1">
      <alignment horizontal="center"/>
    </xf>
    <xf numFmtId="3" fontId="32" fillId="0" borderId="43" xfId="0" applyNumberFormat="1" applyFont="1" applyBorder="1" applyAlignment="1">
      <alignment/>
    </xf>
    <xf numFmtId="3" fontId="26" fillId="0" borderId="12" xfId="0" applyNumberFormat="1" applyFont="1" applyBorder="1" applyAlignment="1">
      <alignment horizontal="center"/>
    </xf>
    <xf numFmtId="3" fontId="30" fillId="0" borderId="11" xfId="0" applyNumberFormat="1" applyFont="1" applyFill="1" applyBorder="1" applyAlignment="1">
      <alignment horizontal="center"/>
    </xf>
    <xf numFmtId="4" fontId="48" fillId="0" borderId="18" xfId="0" applyNumberFormat="1" applyFont="1" applyFill="1" applyBorder="1" applyAlignment="1">
      <alignment horizontal="right"/>
    </xf>
    <xf numFmtId="3" fontId="25" fillId="0" borderId="100" xfId="0" applyNumberFormat="1" applyFont="1" applyFill="1" applyBorder="1" applyAlignment="1">
      <alignment/>
    </xf>
    <xf numFmtId="172" fontId="25" fillId="0" borderId="100" xfId="0" applyNumberFormat="1" applyFont="1" applyFill="1" applyBorder="1" applyAlignment="1">
      <alignment/>
    </xf>
    <xf numFmtId="0" fontId="84" fillId="0" borderId="0" xfId="0" applyFont="1" applyFill="1" applyAlignment="1">
      <alignment/>
    </xf>
    <xf numFmtId="3" fontId="11" fillId="0" borderId="36" xfId="42" applyNumberFormat="1" applyFont="1" applyBorder="1" applyAlignment="1" quotePrefix="1">
      <alignment horizontal="right"/>
    </xf>
    <xf numFmtId="1" fontId="29" fillId="0" borderId="17" xfId="0" applyNumberFormat="1" applyFont="1" applyFill="1" applyBorder="1" applyAlignment="1" quotePrefix="1">
      <alignment horizontal="right"/>
    </xf>
    <xf numFmtId="177" fontId="37" fillId="0" borderId="16" xfId="0" applyNumberFormat="1" applyFont="1" applyFill="1" applyBorder="1" applyAlignment="1" quotePrefix="1">
      <alignment horizontal="right"/>
    </xf>
    <xf numFmtId="177" fontId="29" fillId="0" borderId="16" xfId="0" applyNumberFormat="1" applyFont="1" applyFill="1" applyBorder="1" applyAlignment="1" quotePrefix="1">
      <alignment horizontal="right"/>
    </xf>
    <xf numFmtId="1" fontId="37" fillId="0" borderId="17" xfId="0" applyNumberFormat="1" applyFont="1" applyFill="1" applyBorder="1" applyAlignment="1">
      <alignment/>
    </xf>
    <xf numFmtId="177" fontId="37" fillId="0" borderId="16" xfId="0" applyNumberFormat="1" applyFont="1" applyFill="1" applyBorder="1" applyAlignment="1">
      <alignment/>
    </xf>
    <xf numFmtId="177" fontId="29" fillId="0" borderId="16" xfId="0" applyNumberFormat="1" applyFont="1" applyFill="1" applyBorder="1" applyAlignment="1">
      <alignment/>
    </xf>
    <xf numFmtId="172" fontId="10" fillId="0" borderId="13" xfId="0" applyNumberFormat="1" applyFont="1" applyBorder="1" applyAlignment="1">
      <alignment/>
    </xf>
    <xf numFmtId="181" fontId="32" fillId="0" borderId="0" xfId="0" applyNumberFormat="1" applyFont="1" applyAlignment="1">
      <alignment/>
    </xf>
    <xf numFmtId="0" fontId="43" fillId="0" borderId="18" xfId="0" applyFont="1" applyFill="1" applyBorder="1" applyAlignment="1">
      <alignment horizontal="center" vertical="center" wrapText="1"/>
    </xf>
    <xf numFmtId="4" fontId="34" fillId="0" borderId="76" xfId="0" applyNumberFormat="1" applyFont="1" applyFill="1" applyBorder="1" applyAlignment="1">
      <alignment horizontal="right"/>
    </xf>
    <xf numFmtId="4" fontId="34" fillId="0" borderId="76" xfId="44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00" xfId="0" applyNumberFormat="1" applyFont="1" applyBorder="1" applyAlignment="1">
      <alignment horizontal="right"/>
    </xf>
    <xf numFmtId="4" fontId="6" fillId="0" borderId="101" xfId="0" applyNumberFormat="1" applyFont="1" applyBorder="1" applyAlignment="1">
      <alignment horizontal="right"/>
    </xf>
    <xf numFmtId="0" fontId="6" fillId="0" borderId="98" xfId="0" applyFont="1" applyBorder="1" applyAlignment="1">
      <alignment/>
    </xf>
    <xf numFmtId="4" fontId="6" fillId="0" borderId="83" xfId="0" applyNumberFormat="1" applyFont="1" applyBorder="1" applyAlignment="1" quotePrefix="1">
      <alignment horizontal="right"/>
    </xf>
    <xf numFmtId="4" fontId="6" fillId="0" borderId="83" xfId="0" applyNumberFormat="1" applyFont="1" applyBorder="1" applyAlignment="1">
      <alignment horizontal="right"/>
    </xf>
    <xf numFmtId="4" fontId="6" fillId="0" borderId="44" xfId="0" applyNumberFormat="1" applyFont="1" applyBorder="1" applyAlignment="1" quotePrefix="1">
      <alignment horizontal="right"/>
    </xf>
    <xf numFmtId="0" fontId="4" fillId="0" borderId="43" xfId="0" applyFont="1" applyBorder="1" applyAlignment="1">
      <alignment/>
    </xf>
    <xf numFmtId="4" fontId="4" fillId="0" borderId="82" xfId="0" applyNumberFormat="1" applyFont="1" applyBorder="1" applyAlignment="1" quotePrefix="1">
      <alignment horizontal="right"/>
    </xf>
    <xf numFmtId="4" fontId="4" fillId="0" borderId="50" xfId="0" applyNumberFormat="1" applyFont="1" applyBorder="1" applyAlignment="1" quotePrefix="1">
      <alignment horizontal="right"/>
    </xf>
    <xf numFmtId="4" fontId="6" fillId="0" borderId="44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4" fontId="4" fillId="0" borderId="30" xfId="0" applyNumberFormat="1" applyFont="1" applyBorder="1" applyAlignment="1" quotePrefix="1">
      <alignment horizontal="right"/>
    </xf>
    <xf numFmtId="4" fontId="4" fillId="0" borderId="30" xfId="0" applyNumberFormat="1" applyFont="1" applyBorder="1" applyAlignment="1">
      <alignment horizontal="right"/>
    </xf>
    <xf numFmtId="0" fontId="6" fillId="0" borderId="55" xfId="0" applyFont="1" applyBorder="1" applyAlignment="1">
      <alignment/>
    </xf>
    <xf numFmtId="4" fontId="6" fillId="0" borderId="25" xfId="0" applyNumberFormat="1" applyFont="1" applyBorder="1" applyAlignment="1">
      <alignment horizontal="right"/>
    </xf>
    <xf numFmtId="4" fontId="6" fillId="0" borderId="57" xfId="0" applyNumberFormat="1" applyFont="1" applyBorder="1" applyAlignment="1">
      <alignment horizontal="right"/>
    </xf>
    <xf numFmtId="4" fontId="4" fillId="0" borderId="82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0" fontId="6" fillId="0" borderId="98" xfId="0" applyFont="1" applyBorder="1" applyAlignment="1">
      <alignment wrapText="1"/>
    </xf>
    <xf numFmtId="4" fontId="6" fillId="0" borderId="83" xfId="0" applyNumberFormat="1" applyFont="1" applyBorder="1" applyAlignment="1">
      <alignment horizontal="right" wrapText="1"/>
    </xf>
    <xf numFmtId="4" fontId="6" fillId="0" borderId="44" xfId="0" applyNumberFormat="1" applyFont="1" applyBorder="1" applyAlignment="1">
      <alignment horizontal="right" wrapText="1"/>
    </xf>
    <xf numFmtId="0" fontId="6" fillId="0" borderId="43" xfId="0" applyFont="1" applyBorder="1" applyAlignment="1">
      <alignment/>
    </xf>
    <xf numFmtId="4" fontId="6" fillId="0" borderId="82" xfId="0" applyNumberFormat="1" applyFont="1" applyBorder="1" applyAlignment="1" quotePrefix="1">
      <alignment horizontal="right"/>
    </xf>
    <xf numFmtId="4" fontId="6" fillId="0" borderId="8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5" fillId="0" borderId="18" xfId="57" applyFont="1" applyBorder="1" applyAlignment="1">
      <alignment horizontal="center" vertical="center" wrapText="1"/>
    </xf>
    <xf numFmtId="0" fontId="35" fillId="0" borderId="19" xfId="57" applyFont="1" applyBorder="1" applyAlignment="1">
      <alignment horizontal="center" vertical="center" wrapText="1"/>
    </xf>
    <xf numFmtId="0" fontId="35" fillId="0" borderId="11" xfId="57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3" fontId="35" fillId="0" borderId="13" xfId="0" applyNumberFormat="1" applyFont="1" applyFill="1" applyBorder="1" applyAlignment="1">
      <alignment horizontal="center"/>
    </xf>
    <xf numFmtId="3" fontId="35" fillId="0" borderId="18" xfId="0" applyNumberFormat="1" applyFont="1" applyFill="1" applyBorder="1" applyAlignment="1">
      <alignment horizontal="center"/>
    </xf>
    <xf numFmtId="3" fontId="35" fillId="0" borderId="19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3" fontId="35" fillId="0" borderId="31" xfId="0" applyNumberFormat="1" applyFont="1" applyBorder="1" applyAlignment="1">
      <alignment horizontal="center"/>
    </xf>
    <xf numFmtId="3" fontId="35" fillId="0" borderId="32" xfId="0" applyNumberFormat="1" applyFont="1" applyBorder="1" applyAlignment="1">
      <alignment horizontal="center"/>
    </xf>
    <xf numFmtId="3" fontId="35" fillId="0" borderId="15" xfId="0" applyNumberFormat="1" applyFont="1" applyBorder="1" applyAlignment="1">
      <alignment horizontal="center"/>
    </xf>
    <xf numFmtId="3" fontId="35" fillId="0" borderId="13" xfId="0" applyNumberFormat="1" applyFont="1" applyBorder="1" applyAlignment="1">
      <alignment horizontal="center"/>
    </xf>
    <xf numFmtId="3" fontId="35" fillId="0" borderId="18" xfId="0" applyNumberFormat="1" applyFont="1" applyBorder="1" applyAlignment="1">
      <alignment horizontal="center"/>
    </xf>
    <xf numFmtId="3" fontId="35" fillId="0" borderId="19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3" fontId="34" fillId="0" borderId="18" xfId="0" applyNumberFormat="1" applyFont="1" applyBorder="1" applyAlignment="1">
      <alignment horizontal="center"/>
    </xf>
    <xf numFmtId="3" fontId="34" fillId="0" borderId="19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3" fontId="37" fillId="0" borderId="19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3" fontId="22" fillId="0" borderId="19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" fontId="32" fillId="0" borderId="13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Fill="1" applyBorder="1" applyAlignment="1">
      <alignment horizontal="center" vertical="center" wrapText="1"/>
    </xf>
    <xf numFmtId="0" fontId="70" fillId="0" borderId="15" xfId="0" applyFont="1" applyBorder="1" applyAlignment="1">
      <alignment/>
    </xf>
    <xf numFmtId="0" fontId="70" fillId="0" borderId="32" xfId="0" applyFont="1" applyBorder="1" applyAlignment="1">
      <alignment/>
    </xf>
    <xf numFmtId="0" fontId="34" fillId="0" borderId="15" xfId="0" applyFont="1" applyBorder="1" applyAlignment="1">
      <alignment horizontal="center" wrapText="1"/>
    </xf>
    <xf numFmtId="0" fontId="34" fillId="0" borderId="31" xfId="0" applyFont="1" applyBorder="1" applyAlignment="1">
      <alignment horizontal="center" wrapText="1"/>
    </xf>
    <xf numFmtId="0" fontId="34" fillId="0" borderId="32" xfId="0" applyFont="1" applyBorder="1" applyAlignment="1">
      <alignment horizontal="center" wrapText="1"/>
    </xf>
    <xf numFmtId="0" fontId="34" fillId="0" borderId="43" xfId="0" applyFont="1" applyBorder="1" applyAlignment="1">
      <alignment horizontal="center" wrapText="1"/>
    </xf>
    <xf numFmtId="0" fontId="34" fillId="0" borderId="36" xfId="0" applyFont="1" applyBorder="1" applyAlignment="1">
      <alignment horizontal="center" wrapText="1"/>
    </xf>
    <xf numFmtId="0" fontId="34" fillId="0" borderId="52" xfId="0" applyFont="1" applyBorder="1" applyAlignment="1">
      <alignment horizontal="center" wrapText="1"/>
    </xf>
    <xf numFmtId="0" fontId="29" fillId="0" borderId="15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8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52" xfId="0" applyBorder="1" applyAlignment="1">
      <alignment/>
    </xf>
    <xf numFmtId="0" fontId="0" fillId="0" borderId="0" xfId="0" applyAlignment="1">
      <alignment/>
    </xf>
    <xf numFmtId="0" fontId="52" fillId="0" borderId="13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52" xfId="0" applyFont="1" applyBorder="1" applyAlignment="1">
      <alignment horizontal="center"/>
    </xf>
    <xf numFmtId="0" fontId="52" fillId="0" borderId="18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333375</xdr:colOff>
      <xdr:row>9</xdr:row>
      <xdr:rowOff>161925</xdr:rowOff>
    </xdr:from>
    <xdr:to>
      <xdr:col>19</xdr:col>
      <xdr:colOff>104775</xdr:colOff>
      <xdr:row>10</xdr:row>
      <xdr:rowOff>57150</xdr:rowOff>
    </xdr:to>
    <xdr:sp>
      <xdr:nvSpPr>
        <xdr:cNvPr id="1" name="Straight Arrow Connector 2"/>
        <xdr:cNvSpPr>
          <a:spLocks/>
        </xdr:cNvSpPr>
      </xdr:nvSpPr>
      <xdr:spPr>
        <a:xfrm>
          <a:off x="11991975" y="2286000"/>
          <a:ext cx="22098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53.8515625" style="304" customWidth="1"/>
    <col min="2" max="2" width="14.57421875" style="304" customWidth="1"/>
    <col min="3" max="3" width="14.00390625" style="304" customWidth="1"/>
    <col min="4" max="4" width="18.140625" style="304" customWidth="1"/>
    <col min="5" max="5" width="10.8515625" style="304" customWidth="1"/>
    <col min="6" max="6" width="17.00390625" style="304" customWidth="1"/>
    <col min="7" max="7" width="10.57421875" style="304" customWidth="1"/>
    <col min="8" max="16384" width="9.140625" style="304" customWidth="1"/>
  </cols>
  <sheetData>
    <row r="1" spans="1:13" ht="18.75" customHeight="1">
      <c r="A1" s="328" t="s">
        <v>440</v>
      </c>
      <c r="M1" s="392"/>
    </row>
    <row r="2" spans="1:13" ht="18.75" customHeight="1" thickBot="1">
      <c r="A2" s="328" t="s">
        <v>441</v>
      </c>
      <c r="M2" s="392"/>
    </row>
    <row r="3" spans="1:6" ht="18.75" customHeight="1" thickBot="1">
      <c r="A3" s="181" t="s">
        <v>442</v>
      </c>
      <c r="B3" s="2837" t="s">
        <v>669</v>
      </c>
      <c r="C3" s="2838"/>
      <c r="D3" s="2839" t="s">
        <v>446</v>
      </c>
      <c r="E3" s="393"/>
      <c r="F3" s="394"/>
    </row>
    <row r="4" spans="1:6" ht="18.75" customHeight="1" thickBot="1">
      <c r="A4" s="505" t="s">
        <v>443</v>
      </c>
      <c r="B4" s="506" t="s">
        <v>444</v>
      </c>
      <c r="C4" s="507" t="s">
        <v>445</v>
      </c>
      <c r="D4" s="2840"/>
      <c r="E4" s="395"/>
      <c r="F4" s="394"/>
    </row>
    <row r="5" spans="1:6" ht="18.75" customHeight="1">
      <c r="A5" s="491" t="s">
        <v>759</v>
      </c>
      <c r="B5" s="492">
        <v>1398123</v>
      </c>
      <c r="C5" s="492">
        <v>1870689</v>
      </c>
      <c r="D5" s="493">
        <f>C5*100/C11</f>
        <v>56.70631008806551</v>
      </c>
      <c r="E5" s="395"/>
      <c r="F5" s="394"/>
    </row>
    <row r="6" spans="1:6" ht="18.75" customHeight="1">
      <c r="A6" s="494" t="s">
        <v>760</v>
      </c>
      <c r="B6" s="495">
        <v>480740</v>
      </c>
      <c r="C6" s="495">
        <v>643230</v>
      </c>
      <c r="D6" s="496">
        <f>C6*100/C11</f>
        <v>19.498270336729608</v>
      </c>
      <c r="E6" s="395"/>
      <c r="F6" s="394"/>
    </row>
    <row r="7" spans="1:6" ht="18.75" customHeight="1">
      <c r="A7" s="494" t="s">
        <v>761</v>
      </c>
      <c r="B7" s="495">
        <v>122157</v>
      </c>
      <c r="C7" s="495">
        <v>163446</v>
      </c>
      <c r="D7" s="496">
        <f>C7*100/C11</f>
        <v>4.954548596080885</v>
      </c>
      <c r="E7" s="395"/>
      <c r="F7" s="394"/>
    </row>
    <row r="8" spans="1:6" ht="18.75" customHeight="1">
      <c r="A8" s="497" t="s">
        <v>670</v>
      </c>
      <c r="B8" s="498"/>
      <c r="C8" s="498"/>
      <c r="D8" s="498"/>
      <c r="E8" s="395"/>
      <c r="F8" s="394"/>
    </row>
    <row r="9" spans="1:6" ht="18.75" customHeight="1">
      <c r="A9" s="499" t="s">
        <v>775</v>
      </c>
      <c r="B9" s="500">
        <v>263471</v>
      </c>
      <c r="C9" s="500">
        <v>352524</v>
      </c>
      <c r="D9" s="501">
        <f>C9*100/C11</f>
        <v>10.686081576085178</v>
      </c>
      <c r="E9" s="395"/>
      <c r="F9" s="394"/>
    </row>
    <row r="10" spans="1:6" ht="18.75" customHeight="1" thickBot="1">
      <c r="A10" s="502" t="s">
        <v>776</v>
      </c>
      <c r="B10" s="503">
        <v>201061</v>
      </c>
      <c r="C10" s="503">
        <v>269019</v>
      </c>
      <c r="D10" s="504">
        <f>C10*100/C11</f>
        <v>8.154789403038825</v>
      </c>
      <c r="E10" s="395"/>
      <c r="F10" s="394"/>
    </row>
    <row r="11" spans="1:6" s="190" customFormat="1" ht="18.75" customHeight="1" thickBot="1">
      <c r="A11" s="396" t="s">
        <v>472</v>
      </c>
      <c r="B11" s="397">
        <f>SUM(B5:B10)</f>
        <v>2465552</v>
      </c>
      <c r="C11" s="397">
        <f>SUM(C5:C10)</f>
        <v>3298908</v>
      </c>
      <c r="D11" s="398">
        <f>C11*100/C11</f>
        <v>100</v>
      </c>
      <c r="E11" s="399"/>
      <c r="F11" s="400"/>
    </row>
    <row r="12" spans="1:7" ht="18.75" customHeight="1">
      <c r="A12" s="395"/>
      <c r="B12" s="395"/>
      <c r="C12" s="395"/>
      <c r="D12" s="395"/>
      <c r="E12" s="395"/>
      <c r="F12" s="395"/>
      <c r="G12" s="394"/>
    </row>
    <row r="13" spans="1:7" ht="18.75" customHeight="1">
      <c r="A13" s="328" t="s">
        <v>201</v>
      </c>
      <c r="B13" s="395"/>
      <c r="C13" s="395"/>
      <c r="D13" s="401"/>
      <c r="E13" s="395"/>
      <c r="F13" s="395"/>
      <c r="G13" s="394"/>
    </row>
    <row r="14" spans="1:7" ht="18.75" customHeight="1" thickBot="1">
      <c r="A14" s="393"/>
      <c r="B14" s="395"/>
      <c r="C14" s="395"/>
      <c r="D14" s="401"/>
      <c r="E14" s="395"/>
      <c r="F14" s="395"/>
      <c r="G14" s="394"/>
    </row>
    <row r="15" spans="1:13" s="155" customFormat="1" ht="18.75" customHeight="1" thickTop="1">
      <c r="A15" s="508" t="s">
        <v>447</v>
      </c>
      <c r="B15" s="531" t="s">
        <v>448</v>
      </c>
      <c r="C15" s="530"/>
      <c r="D15" s="402" t="s">
        <v>449</v>
      </c>
      <c r="E15" s="531" t="s">
        <v>450</v>
      </c>
      <c r="F15" s="402" t="s">
        <v>451</v>
      </c>
      <c r="G15" s="531" t="s">
        <v>460</v>
      </c>
      <c r="M15" s="403"/>
    </row>
    <row r="16" spans="1:13" s="155" customFormat="1" ht="18.75" customHeight="1" thickBot="1">
      <c r="A16" s="2496" t="s">
        <v>461</v>
      </c>
      <c r="B16" s="2497" t="s">
        <v>462</v>
      </c>
      <c r="C16" s="2498" t="s">
        <v>446</v>
      </c>
      <c r="D16" s="2497" t="s">
        <v>463</v>
      </c>
      <c r="E16" s="2498" t="s">
        <v>446</v>
      </c>
      <c r="F16" s="2497" t="s">
        <v>175</v>
      </c>
      <c r="G16" s="2498" t="s">
        <v>446</v>
      </c>
      <c r="M16" s="403"/>
    </row>
    <row r="17" spans="1:7" ht="18.75" customHeight="1">
      <c r="A17" s="2501"/>
      <c r="B17" s="2502"/>
      <c r="C17" s="2503"/>
      <c r="D17" s="2503"/>
      <c r="E17" s="2503"/>
      <c r="F17" s="2503"/>
      <c r="G17" s="2503"/>
    </row>
    <row r="18" spans="1:7" ht="18.75" customHeight="1">
      <c r="A18" s="321" t="s">
        <v>777</v>
      </c>
      <c r="B18" s="509">
        <f>SUM(B20:B59)</f>
        <v>936980.22</v>
      </c>
      <c r="C18" s="510">
        <f>(B18*100)/B63</f>
        <v>67.01700923309322</v>
      </c>
      <c r="D18" s="511">
        <f>SUM(D20:D62)</f>
        <v>867134.65</v>
      </c>
      <c r="E18" s="510">
        <f>(D18*100)/B18</f>
        <v>92.54567294921125</v>
      </c>
      <c r="F18" s="2416">
        <f>SUM(F19:F62)</f>
        <v>69845.57</v>
      </c>
      <c r="G18" s="510">
        <f>(F18*100)/B18</f>
        <v>7.454327050788757</v>
      </c>
    </row>
    <row r="19" spans="1:7" ht="18.75" customHeight="1">
      <c r="A19" s="738"/>
      <c r="B19" s="512"/>
      <c r="C19" s="513"/>
      <c r="D19" s="514"/>
      <c r="E19" s="515"/>
      <c r="F19" s="514"/>
      <c r="G19" s="513"/>
    </row>
    <row r="20" spans="1:7" ht="18.75" customHeight="1">
      <c r="A20" s="1438" t="s">
        <v>1396</v>
      </c>
      <c r="B20" s="516">
        <f>D20</f>
        <v>593597</v>
      </c>
      <c r="C20" s="517">
        <f>(B20*100)/B63</f>
        <v>42.45670802926495</v>
      </c>
      <c r="D20" s="518">
        <v>593597</v>
      </c>
      <c r="E20" s="519" t="s">
        <v>464</v>
      </c>
      <c r="F20" s="520" t="s">
        <v>464</v>
      </c>
      <c r="G20" s="519" t="s">
        <v>464</v>
      </c>
    </row>
    <row r="21" spans="1:7" ht="18.75" customHeight="1">
      <c r="A21" s="738"/>
      <c r="B21" s="512"/>
      <c r="C21" s="513"/>
      <c r="D21" s="1977"/>
      <c r="E21" s="513"/>
      <c r="F21" s="514"/>
      <c r="G21" s="513"/>
    </row>
    <row r="22" spans="1:7" ht="18.75" customHeight="1">
      <c r="A22" s="1438" t="s">
        <v>778</v>
      </c>
      <c r="B22" s="516">
        <v>84745</v>
      </c>
      <c r="C22" s="517">
        <f>(B22*100)/B63</f>
        <v>6.061340811931426</v>
      </c>
      <c r="D22" s="520">
        <v>84745</v>
      </c>
      <c r="E22" s="519" t="s">
        <v>464</v>
      </c>
      <c r="F22" s="520" t="s">
        <v>464</v>
      </c>
      <c r="G22" s="519" t="s">
        <v>464</v>
      </c>
    </row>
    <row r="23" spans="1:7" ht="18.75" customHeight="1">
      <c r="A23" s="2504"/>
      <c r="B23" s="521"/>
      <c r="C23" s="522"/>
      <c r="D23" s="1978"/>
      <c r="E23" s="522"/>
      <c r="F23" s="521"/>
      <c r="G23" s="522"/>
    </row>
    <row r="24" spans="1:7" ht="18.75" customHeight="1">
      <c r="A24" s="1438" t="s">
        <v>779</v>
      </c>
      <c r="B24" s="516">
        <f>D24</f>
        <v>94837</v>
      </c>
      <c r="C24" s="517">
        <f>(B24*100)/B63</f>
        <v>6.7831657157489005</v>
      </c>
      <c r="D24" s="518">
        <v>94837</v>
      </c>
      <c r="E24" s="519" t="s">
        <v>464</v>
      </c>
      <c r="F24" s="520" t="s">
        <v>464</v>
      </c>
      <c r="G24" s="519" t="s">
        <v>464</v>
      </c>
    </row>
    <row r="25" spans="1:7" ht="18.75" customHeight="1">
      <c r="A25" s="2504"/>
      <c r="B25" s="523"/>
      <c r="C25" s="522"/>
      <c r="D25" s="1978"/>
      <c r="E25" s="522"/>
      <c r="F25" s="521"/>
      <c r="G25" s="522"/>
    </row>
    <row r="26" spans="1:7" ht="18.75" customHeight="1">
      <c r="A26" s="1438" t="s">
        <v>170</v>
      </c>
      <c r="B26" s="524" t="s">
        <v>464</v>
      </c>
      <c r="C26" s="519" t="s">
        <v>464</v>
      </c>
      <c r="D26" s="519" t="s">
        <v>464</v>
      </c>
      <c r="E26" s="519" t="s">
        <v>464</v>
      </c>
      <c r="F26" s="520" t="s">
        <v>464</v>
      </c>
      <c r="G26" s="519" t="s">
        <v>464</v>
      </c>
    </row>
    <row r="27" spans="1:7" ht="18.75" customHeight="1">
      <c r="A27" s="2504"/>
      <c r="B27" s="498"/>
      <c r="C27" s="498"/>
      <c r="D27" s="1979"/>
      <c r="E27" s="498"/>
      <c r="F27" s="498"/>
      <c r="G27" s="498"/>
    </row>
    <row r="28" spans="1:7" ht="18.75" customHeight="1">
      <c r="A28" s="1438" t="s">
        <v>780</v>
      </c>
      <c r="B28" s="524" t="s">
        <v>464</v>
      </c>
      <c r="C28" s="519" t="s">
        <v>464</v>
      </c>
      <c r="D28" s="519" t="s">
        <v>464</v>
      </c>
      <c r="E28" s="519" t="s">
        <v>464</v>
      </c>
      <c r="F28" s="520" t="s">
        <v>464</v>
      </c>
      <c r="G28" s="519" t="s">
        <v>464</v>
      </c>
    </row>
    <row r="29" spans="1:7" ht="18.75" customHeight="1">
      <c r="A29" s="2504" t="s">
        <v>671</v>
      </c>
      <c r="B29" s="498"/>
      <c r="C29" s="498"/>
      <c r="D29" s="1979"/>
      <c r="E29" s="498"/>
      <c r="F29" s="498"/>
      <c r="G29" s="522"/>
    </row>
    <row r="30" spans="1:7" ht="18.75" customHeight="1">
      <c r="A30" s="1438" t="s">
        <v>171</v>
      </c>
      <c r="B30" s="516">
        <f>F30</f>
        <v>8736</v>
      </c>
      <c r="C30" s="517">
        <f>(B30*100)/B63</f>
        <v>0.6248377288693484</v>
      </c>
      <c r="D30" s="519" t="s">
        <v>464</v>
      </c>
      <c r="E30" s="519" t="s">
        <v>464</v>
      </c>
      <c r="F30" s="518">
        <v>8736</v>
      </c>
      <c r="G30" s="519" t="s">
        <v>464</v>
      </c>
    </row>
    <row r="31" spans="1:7" ht="18.75" customHeight="1">
      <c r="A31" s="2504" t="s">
        <v>781</v>
      </c>
      <c r="B31" s="498"/>
      <c r="C31" s="498"/>
      <c r="D31" s="1979"/>
      <c r="E31" s="498"/>
      <c r="F31" s="498"/>
      <c r="G31" s="498"/>
    </row>
    <row r="32" spans="1:7" ht="18.75" customHeight="1">
      <c r="A32" s="1438" t="s">
        <v>782</v>
      </c>
      <c r="B32" s="516">
        <f>D32+F32</f>
        <v>55304</v>
      </c>
      <c r="C32" s="517">
        <f>(B32*100)/B63</f>
        <v>3.9555890290053166</v>
      </c>
      <c r="D32" s="518">
        <v>54200</v>
      </c>
      <c r="E32" s="519" t="s">
        <v>464</v>
      </c>
      <c r="F32" s="518">
        <v>1104</v>
      </c>
      <c r="G32" s="519" t="s">
        <v>464</v>
      </c>
    </row>
    <row r="33" spans="1:7" ht="18.75" customHeight="1">
      <c r="A33" s="2505" t="s">
        <v>671</v>
      </c>
      <c r="B33" s="498"/>
      <c r="C33" s="498"/>
      <c r="D33" s="1979"/>
      <c r="E33" s="498"/>
      <c r="F33" s="498"/>
      <c r="G33" s="498"/>
    </row>
    <row r="34" spans="1:7" ht="18.75" customHeight="1">
      <c r="A34" s="738" t="s">
        <v>465</v>
      </c>
      <c r="B34" s="512"/>
      <c r="C34" s="513"/>
      <c r="D34" s="1977"/>
      <c r="E34" s="513"/>
      <c r="F34" s="514"/>
      <c r="G34" s="513"/>
    </row>
    <row r="35" spans="1:7" ht="18.75" customHeight="1">
      <c r="A35" s="1437" t="s">
        <v>466</v>
      </c>
      <c r="B35" s="516">
        <f>F35</f>
        <v>3092.5</v>
      </c>
      <c r="C35" s="517">
        <f>(B35*100)/B63</f>
        <v>0.2211894089432761</v>
      </c>
      <c r="D35" s="2495" t="s">
        <v>464</v>
      </c>
      <c r="E35" s="519" t="s">
        <v>464</v>
      </c>
      <c r="F35" s="2415">
        <v>3092.5</v>
      </c>
      <c r="G35" s="519" t="s">
        <v>464</v>
      </c>
    </row>
    <row r="36" spans="1:7" ht="18.75" customHeight="1">
      <c r="A36" s="738"/>
      <c r="B36" s="512"/>
      <c r="C36" s="513"/>
      <c r="D36" s="1977"/>
      <c r="E36" s="513"/>
      <c r="F36" s="514"/>
      <c r="G36" s="513"/>
    </row>
    <row r="37" spans="1:7" ht="18.75" customHeight="1">
      <c r="A37" s="738" t="s">
        <v>467</v>
      </c>
      <c r="B37" s="512"/>
      <c r="C37" s="513"/>
      <c r="D37" s="1977"/>
      <c r="E37" s="513"/>
      <c r="F37" s="514"/>
      <c r="G37" s="513"/>
    </row>
    <row r="38" spans="1:7" ht="18.75" customHeight="1">
      <c r="A38" s="1437" t="s">
        <v>468</v>
      </c>
      <c r="B38" s="516">
        <f>D38+F38</f>
        <v>4652</v>
      </c>
      <c r="C38" s="517">
        <f>(B38*100)/B63</f>
        <v>0.3327318125801521</v>
      </c>
      <c r="D38" s="518">
        <v>539</v>
      </c>
      <c r="E38" s="519" t="s">
        <v>464</v>
      </c>
      <c r="F38" s="518">
        <v>4113</v>
      </c>
      <c r="G38" s="519" t="s">
        <v>464</v>
      </c>
    </row>
    <row r="39" spans="1:7" ht="18.75" customHeight="1">
      <c r="A39" s="2504"/>
      <c r="B39" s="523"/>
      <c r="C39" s="522"/>
      <c r="D39" s="1978"/>
      <c r="E39" s="522"/>
      <c r="F39" s="521"/>
      <c r="G39" s="513"/>
    </row>
    <row r="40" spans="1:7" ht="18.75" customHeight="1">
      <c r="A40" s="1438" t="s">
        <v>176</v>
      </c>
      <c r="B40" s="516">
        <f>F40</f>
        <v>1861.5</v>
      </c>
      <c r="C40" s="517">
        <f>(B40*100)/B63</f>
        <v>0.13314279215777153</v>
      </c>
      <c r="D40" s="2495" t="s">
        <v>464</v>
      </c>
      <c r="E40" s="519" t="s">
        <v>464</v>
      </c>
      <c r="F40" s="2415">
        <v>1861.5</v>
      </c>
      <c r="G40" s="519" t="s">
        <v>464</v>
      </c>
    </row>
    <row r="41" spans="1:7" ht="18.75" customHeight="1">
      <c r="A41" s="2505" t="s">
        <v>1270</v>
      </c>
      <c r="B41" s="498"/>
      <c r="C41" s="498"/>
      <c r="D41" s="1979"/>
      <c r="E41" s="498"/>
      <c r="F41" s="498"/>
      <c r="G41" s="498"/>
    </row>
    <row r="42" spans="1:7" ht="18.75" customHeight="1">
      <c r="A42" s="738" t="s">
        <v>469</v>
      </c>
      <c r="B42" s="512"/>
      <c r="C42" s="513"/>
      <c r="D42" s="1977"/>
      <c r="E42" s="513"/>
      <c r="F42" s="514"/>
      <c r="G42" s="513"/>
    </row>
    <row r="43" spans="1:7" ht="18.75" customHeight="1">
      <c r="A43" s="1437" t="s">
        <v>1271</v>
      </c>
      <c r="B43" s="516">
        <f>F43</f>
        <v>152.5</v>
      </c>
      <c r="C43" s="517">
        <f>(B43*100)/B63</f>
        <v>0.010907480958399225</v>
      </c>
      <c r="D43" s="2495" t="s">
        <v>464</v>
      </c>
      <c r="E43" s="519" t="s">
        <v>464</v>
      </c>
      <c r="F43" s="2415">
        <v>152.5</v>
      </c>
      <c r="G43" s="519" t="s">
        <v>464</v>
      </c>
    </row>
    <row r="44" spans="1:7" ht="18.75" customHeight="1">
      <c r="A44" s="738"/>
      <c r="B44" s="512"/>
      <c r="C44" s="513"/>
      <c r="D44" s="1977"/>
      <c r="E44" s="513"/>
      <c r="F44" s="514"/>
      <c r="G44" s="513"/>
    </row>
    <row r="45" spans="1:7" ht="18.75" customHeight="1">
      <c r="A45" s="1438" t="s">
        <v>783</v>
      </c>
      <c r="B45" s="516">
        <f>F45</f>
        <v>351.5</v>
      </c>
      <c r="C45" s="517">
        <f>(B45*100)/B63</f>
        <v>0.025140849553293952</v>
      </c>
      <c r="D45" s="2495" t="s">
        <v>464</v>
      </c>
      <c r="E45" s="519" t="s">
        <v>464</v>
      </c>
      <c r="F45" s="2415">
        <v>351.5</v>
      </c>
      <c r="G45" s="519" t="s">
        <v>464</v>
      </c>
    </row>
    <row r="46" spans="1:7" ht="18.75" customHeight="1">
      <c r="A46" s="738"/>
      <c r="B46" s="512"/>
      <c r="C46" s="513"/>
      <c r="D46" s="1977"/>
      <c r="E46" s="513"/>
      <c r="F46" s="514"/>
      <c r="G46" s="513"/>
    </row>
    <row r="47" spans="1:7" ht="18.75" customHeight="1">
      <c r="A47" s="1438" t="s">
        <v>784</v>
      </c>
      <c r="B47" s="516">
        <f>F47</f>
        <v>2033.55</v>
      </c>
      <c r="C47" s="517">
        <f>(B47*100)/B63</f>
        <v>0.14544857641280487</v>
      </c>
      <c r="D47" s="2495" t="s">
        <v>464</v>
      </c>
      <c r="E47" s="519" t="s">
        <v>464</v>
      </c>
      <c r="F47" s="1976">
        <v>2033.55</v>
      </c>
      <c r="G47" s="519" t="s">
        <v>464</v>
      </c>
    </row>
    <row r="48" spans="1:7" ht="18.75" customHeight="1">
      <c r="A48" s="738"/>
      <c r="B48" s="512"/>
      <c r="C48" s="513"/>
      <c r="D48" s="1977"/>
      <c r="E48" s="513"/>
      <c r="F48" s="514"/>
      <c r="G48" s="513"/>
    </row>
    <row r="49" spans="1:7" ht="18.75" customHeight="1">
      <c r="A49" s="738" t="s">
        <v>172</v>
      </c>
      <c r="B49" s="512">
        <f>F49</f>
        <v>644.92</v>
      </c>
      <c r="C49" s="513">
        <f>(B49*100)/B63</f>
        <v>0.04612755816190706</v>
      </c>
      <c r="D49" s="2495" t="s">
        <v>464</v>
      </c>
      <c r="E49" s="519" t="s">
        <v>464</v>
      </c>
      <c r="F49" s="1977">
        <v>644.92</v>
      </c>
      <c r="G49" s="519" t="s">
        <v>464</v>
      </c>
    </row>
    <row r="50" spans="1:7" ht="18.75" customHeight="1">
      <c r="A50" s="2505" t="s">
        <v>671</v>
      </c>
      <c r="B50" s="498"/>
      <c r="C50" s="498"/>
      <c r="D50" s="1979"/>
      <c r="E50" s="498"/>
      <c r="F50" s="498"/>
      <c r="G50" s="522"/>
    </row>
    <row r="51" spans="1:7" ht="18.75" customHeight="1">
      <c r="A51" s="1438" t="s">
        <v>173</v>
      </c>
      <c r="B51" s="516">
        <f>F51</f>
        <v>1648.36</v>
      </c>
      <c r="C51" s="517">
        <f>(B51*100)/B63</f>
        <v>0.11789806762352097</v>
      </c>
      <c r="D51" s="2495" t="s">
        <v>464</v>
      </c>
      <c r="E51" s="519" t="s">
        <v>464</v>
      </c>
      <c r="F51" s="1976">
        <v>1648.36</v>
      </c>
      <c r="G51" s="519" t="s">
        <v>464</v>
      </c>
    </row>
    <row r="52" spans="1:7" ht="18.75" customHeight="1">
      <c r="A52" s="2505" t="s">
        <v>671</v>
      </c>
      <c r="B52" s="498"/>
      <c r="C52" s="498"/>
      <c r="D52" s="1979"/>
      <c r="E52" s="498"/>
      <c r="F52" s="498"/>
      <c r="G52" s="498"/>
    </row>
    <row r="53" spans="1:7" ht="18.75" customHeight="1">
      <c r="A53" s="738" t="s">
        <v>470</v>
      </c>
      <c r="B53" s="512"/>
      <c r="C53" s="513"/>
      <c r="D53" s="1977"/>
      <c r="E53" s="513"/>
      <c r="F53" s="514"/>
      <c r="G53" s="513"/>
    </row>
    <row r="54" spans="1:7" ht="18.75" customHeight="1">
      <c r="A54" s="1980" t="s">
        <v>471</v>
      </c>
      <c r="B54" s="2804">
        <f>D54+F54</f>
        <v>43267.700000000004</v>
      </c>
      <c r="C54" s="525">
        <f>(B54*100)/B63</f>
        <v>3.0946991073031485</v>
      </c>
      <c r="D54" s="2803">
        <v>39216.65</v>
      </c>
      <c r="E54" s="519" t="s">
        <v>464</v>
      </c>
      <c r="F54" s="2803">
        <v>4051.05</v>
      </c>
      <c r="G54" s="519" t="s">
        <v>464</v>
      </c>
    </row>
    <row r="55" spans="1:7" ht="18.75" customHeight="1">
      <c r="A55" s="738"/>
      <c r="B55" s="512"/>
      <c r="C55" s="513"/>
      <c r="D55" s="1977"/>
      <c r="E55" s="513"/>
      <c r="F55" s="514"/>
      <c r="G55" s="513"/>
    </row>
    <row r="56" spans="1:7" ht="18.75" customHeight="1">
      <c r="A56" s="1438" t="s">
        <v>785</v>
      </c>
      <c r="B56" s="516">
        <f>F56</f>
        <v>41263</v>
      </c>
      <c r="C56" s="517">
        <f>(B56*100)/B63</f>
        <v>2.951314011714277</v>
      </c>
      <c r="D56" s="2495" t="s">
        <v>464</v>
      </c>
      <c r="E56" s="519" t="s">
        <v>464</v>
      </c>
      <c r="F56" s="518">
        <v>41263</v>
      </c>
      <c r="G56" s="519" t="s">
        <v>464</v>
      </c>
    </row>
    <row r="57" spans="1:7" ht="18.75" customHeight="1">
      <c r="A57" s="738"/>
      <c r="B57" s="512"/>
      <c r="C57" s="513"/>
      <c r="D57" s="1977"/>
      <c r="E57" s="513"/>
      <c r="F57" s="514"/>
      <c r="G57" s="513"/>
    </row>
    <row r="58" spans="1:7" ht="18.75" customHeight="1">
      <c r="A58" s="738" t="s">
        <v>174</v>
      </c>
      <c r="B58" s="512"/>
      <c r="C58" s="513"/>
      <c r="D58" s="1977"/>
      <c r="E58" s="513"/>
      <c r="F58" s="514"/>
      <c r="G58" s="513"/>
    </row>
    <row r="59" spans="1:7" ht="18.75" customHeight="1">
      <c r="A59" s="1437" t="s">
        <v>1272</v>
      </c>
      <c r="B59" s="516">
        <f>F59</f>
        <v>793.69</v>
      </c>
      <c r="C59" s="517">
        <f>(B59*100)/B63</f>
        <v>0.056768252864733644</v>
      </c>
      <c r="D59" s="2495" t="s">
        <v>464</v>
      </c>
      <c r="E59" s="519" t="s">
        <v>464</v>
      </c>
      <c r="F59" s="1976">
        <v>793.69</v>
      </c>
      <c r="G59" s="519" t="s">
        <v>464</v>
      </c>
    </row>
    <row r="60" spans="1:7" ht="18.75" customHeight="1">
      <c r="A60" s="2504"/>
      <c r="B60" s="521"/>
      <c r="C60" s="522"/>
      <c r="D60" s="1978"/>
      <c r="E60" s="515"/>
      <c r="F60" s="515"/>
      <c r="G60" s="515"/>
    </row>
    <row r="61" spans="1:7" ht="18.75" customHeight="1" thickBot="1">
      <c r="A61" s="527" t="s">
        <v>786</v>
      </c>
      <c r="B61" s="2506">
        <f>B63-B18</f>
        <v>461142.78</v>
      </c>
      <c r="C61" s="2507">
        <f>(B61*100)/B63</f>
        <v>32.982990766906774</v>
      </c>
      <c r="D61" s="2508" t="s">
        <v>464</v>
      </c>
      <c r="E61" s="2509" t="s">
        <v>464</v>
      </c>
      <c r="F61" s="2509" t="s">
        <v>464</v>
      </c>
      <c r="G61" s="2509" t="s">
        <v>464</v>
      </c>
    </row>
    <row r="62" spans="1:7" ht="18.75" customHeight="1">
      <c r="A62" s="738"/>
      <c r="B62" s="2499"/>
      <c r="C62" s="2500"/>
      <c r="D62" s="526"/>
      <c r="E62" s="526"/>
      <c r="F62" s="526"/>
      <c r="G62" s="526"/>
    </row>
    <row r="63" spans="1:7" ht="18.75" customHeight="1" thickBot="1">
      <c r="A63" s="527" t="s">
        <v>787</v>
      </c>
      <c r="B63" s="528">
        <v>1398123</v>
      </c>
      <c r="C63" s="529">
        <v>100</v>
      </c>
      <c r="D63" s="526"/>
      <c r="E63" s="526"/>
      <c r="F63" s="526"/>
      <c r="G63" s="526"/>
    </row>
    <row r="64" spans="1:2" ht="18.75" customHeight="1">
      <c r="A64" s="304" t="s">
        <v>1278</v>
      </c>
      <c r="B64" s="404"/>
    </row>
    <row r="65" spans="1:2" ht="18.75" customHeight="1">
      <c r="A65" s="304" t="s">
        <v>1279</v>
      </c>
      <c r="B65" s="404"/>
    </row>
  </sheetData>
  <sheetProtection/>
  <mergeCells count="2">
    <mergeCell ref="B3:C3"/>
    <mergeCell ref="D3:D4"/>
  </mergeCells>
  <printOptions/>
  <pageMargins left="0.89" right="1" top="1" bottom="1" header="0.5" footer="0.5"/>
  <pageSetup horizontalDpi="300" verticalDpi="3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7"/>
  <sheetViews>
    <sheetView zoomScale="65" zoomScaleNormal="65" zoomScalePageLayoutView="0" workbookViewId="0" topLeftCell="A43">
      <selection activeCell="N49" sqref="N49"/>
    </sheetView>
  </sheetViews>
  <sheetFormatPr defaultColWidth="9.140625" defaultRowHeight="12.75"/>
  <cols>
    <col min="1" max="1" width="21.421875" style="787" customWidth="1"/>
    <col min="2" max="3" width="10.7109375" style="784" customWidth="1"/>
    <col min="4" max="4" width="14.57421875" style="785" customWidth="1"/>
    <col min="5" max="5" width="10.8515625" style="784" customWidth="1"/>
    <col min="6" max="6" width="9.57421875" style="784" customWidth="1"/>
    <col min="7" max="7" width="14.140625" style="784" customWidth="1"/>
    <col min="8" max="8" width="10.00390625" style="784" customWidth="1"/>
    <col min="9" max="9" width="10.140625" style="784" customWidth="1"/>
    <col min="10" max="10" width="14.8515625" style="784" customWidth="1"/>
    <col min="11" max="11" width="20.7109375" style="786" customWidth="1"/>
    <col min="12" max="16384" width="9.140625" style="787" customWidth="1"/>
  </cols>
  <sheetData>
    <row r="1" spans="1:11" ht="20.25">
      <c r="A1" s="948" t="s">
        <v>630</v>
      </c>
      <c r="B1" s="949"/>
      <c r="C1" s="949"/>
      <c r="D1" s="950"/>
      <c r="E1" s="949"/>
      <c r="F1" s="949"/>
      <c r="G1" s="949"/>
      <c r="H1" s="949"/>
      <c r="I1" s="949"/>
      <c r="J1" s="949"/>
      <c r="K1" s="951"/>
    </row>
    <row r="2" spans="1:11" ht="21" thickBot="1">
      <c r="A2" s="952"/>
      <c r="B2" s="949"/>
      <c r="C2" s="949"/>
      <c r="D2" s="950"/>
      <c r="E2" s="949"/>
      <c r="F2" s="949"/>
      <c r="G2" s="949"/>
      <c r="H2" s="949"/>
      <c r="I2" s="949"/>
      <c r="J2" s="949"/>
      <c r="K2" s="951"/>
    </row>
    <row r="3" spans="1:11" ht="21" thickBot="1">
      <c r="A3" s="953"/>
      <c r="B3" s="2871" t="s">
        <v>1508</v>
      </c>
      <c r="C3" s="2872"/>
      <c r="D3" s="2873"/>
      <c r="E3" s="2871" t="s">
        <v>178</v>
      </c>
      <c r="F3" s="2872"/>
      <c r="G3" s="2873"/>
      <c r="H3" s="2871" t="s">
        <v>1469</v>
      </c>
      <c r="I3" s="2872"/>
      <c r="J3" s="2872"/>
      <c r="K3" s="954"/>
    </row>
    <row r="4" spans="1:11" ht="20.25">
      <c r="A4" s="955" t="s">
        <v>566</v>
      </c>
      <c r="B4" s="956" t="s">
        <v>567</v>
      </c>
      <c r="C4" s="956" t="s">
        <v>568</v>
      </c>
      <c r="D4" s="957" t="s">
        <v>569</v>
      </c>
      <c r="E4" s="956" t="s">
        <v>567</v>
      </c>
      <c r="F4" s="956" t="s">
        <v>568</v>
      </c>
      <c r="G4" s="956" t="s">
        <v>569</v>
      </c>
      <c r="H4" s="956" t="s">
        <v>567</v>
      </c>
      <c r="I4" s="956" t="s">
        <v>568</v>
      </c>
      <c r="J4" s="956" t="s">
        <v>569</v>
      </c>
      <c r="K4" s="958" t="s">
        <v>570</v>
      </c>
    </row>
    <row r="5" spans="1:11" s="786" customFormat="1" ht="20.25">
      <c r="A5" s="955" t="s">
        <v>571</v>
      </c>
      <c r="B5" s="959" t="s">
        <v>572</v>
      </c>
      <c r="C5" s="959" t="s">
        <v>573</v>
      </c>
      <c r="D5" s="960" t="s">
        <v>574</v>
      </c>
      <c r="E5" s="959" t="s">
        <v>572</v>
      </c>
      <c r="F5" s="959" t="s">
        <v>573</v>
      </c>
      <c r="G5" s="959" t="s">
        <v>574</v>
      </c>
      <c r="H5" s="959" t="s">
        <v>572</v>
      </c>
      <c r="I5" s="959" t="s">
        <v>573</v>
      </c>
      <c r="J5" s="959" t="s">
        <v>574</v>
      </c>
      <c r="K5" s="961" t="s">
        <v>575</v>
      </c>
    </row>
    <row r="6" spans="1:11" ht="21" thickBot="1">
      <c r="A6" s="962"/>
      <c r="B6" s="963" t="s">
        <v>444</v>
      </c>
      <c r="C6" s="963" t="s">
        <v>576</v>
      </c>
      <c r="D6" s="964" t="s">
        <v>577</v>
      </c>
      <c r="E6" s="963" t="s">
        <v>444</v>
      </c>
      <c r="F6" s="963" t="s">
        <v>576</v>
      </c>
      <c r="G6" s="963" t="s">
        <v>577</v>
      </c>
      <c r="H6" s="963" t="s">
        <v>444</v>
      </c>
      <c r="I6" s="963" t="s">
        <v>576</v>
      </c>
      <c r="J6" s="963" t="s">
        <v>577</v>
      </c>
      <c r="K6" s="965"/>
    </row>
    <row r="7" spans="1:11" s="783" customFormat="1" ht="23.25" customHeight="1" thickBot="1">
      <c r="A7" s="688" t="s">
        <v>578</v>
      </c>
      <c r="B7" s="2431">
        <f>SUM(B13+B26)</f>
        <v>3</v>
      </c>
      <c r="C7" s="966">
        <f>(D7*1000)/B7</f>
        <v>4166.666666666667</v>
      </c>
      <c r="D7" s="2580">
        <f>SUM(D13+D26)</f>
        <v>12.5</v>
      </c>
      <c r="E7" s="633">
        <f>SUM(E8+E13+E26+E30)</f>
        <v>1331</v>
      </c>
      <c r="F7" s="678">
        <f>(G7*1000)/E7</f>
        <v>3127.573253193088</v>
      </c>
      <c r="G7" s="1032">
        <f>SUM(G8+G13+G26+G30)</f>
        <v>4162.8</v>
      </c>
      <c r="H7" s="633">
        <f>SUM(H13+H20+H26+H30)</f>
        <v>404</v>
      </c>
      <c r="I7" s="678">
        <f>(J7*1000)/H7</f>
        <v>3150.990099009901</v>
      </c>
      <c r="J7" s="635">
        <f>SUM(J13+J20+J26+J30)</f>
        <v>1273</v>
      </c>
      <c r="K7" s="967" t="s">
        <v>579</v>
      </c>
    </row>
    <row r="8" spans="1:11" s="783" customFormat="1" ht="21.75" customHeight="1">
      <c r="A8" s="689" t="s">
        <v>580</v>
      </c>
      <c r="B8" s="968" t="s">
        <v>464</v>
      </c>
      <c r="C8" s="969" t="s">
        <v>464</v>
      </c>
      <c r="D8" s="970" t="s">
        <v>464</v>
      </c>
      <c r="E8" s="676">
        <f>SUM(E9:E11)</f>
        <v>220</v>
      </c>
      <c r="F8" s="659">
        <f>(G8*1000)/E8</f>
        <v>3636.3636363636365</v>
      </c>
      <c r="G8" s="660">
        <f>SUM(G9:G11)</f>
        <v>800</v>
      </c>
      <c r="H8" s="651" t="s">
        <v>464</v>
      </c>
      <c r="I8" s="652" t="s">
        <v>464</v>
      </c>
      <c r="J8" s="653" t="s">
        <v>464</v>
      </c>
      <c r="K8" s="649" t="s">
        <v>581</v>
      </c>
    </row>
    <row r="9" spans="1:11" ht="18" customHeight="1">
      <c r="A9" s="971" t="s">
        <v>582</v>
      </c>
      <c r="B9" s="972" t="s">
        <v>464</v>
      </c>
      <c r="C9" s="973" t="s">
        <v>464</v>
      </c>
      <c r="D9" s="974" t="s">
        <v>464</v>
      </c>
      <c r="E9" s="652" t="s">
        <v>464</v>
      </c>
      <c r="F9" s="652" t="s">
        <v>464</v>
      </c>
      <c r="G9" s="653" t="s">
        <v>464</v>
      </c>
      <c r="H9" s="651" t="s">
        <v>464</v>
      </c>
      <c r="I9" s="652" t="s">
        <v>464</v>
      </c>
      <c r="J9" s="653" t="s">
        <v>464</v>
      </c>
      <c r="K9" s="654" t="s">
        <v>583</v>
      </c>
    </row>
    <row r="10" spans="1:11" ht="18" customHeight="1">
      <c r="A10" s="971" t="s">
        <v>584</v>
      </c>
      <c r="B10" s="972" t="s">
        <v>464</v>
      </c>
      <c r="C10" s="973" t="s">
        <v>464</v>
      </c>
      <c r="D10" s="974" t="s">
        <v>464</v>
      </c>
      <c r="E10" s="677">
        <v>220</v>
      </c>
      <c r="F10" s="641">
        <f>(G10*1000)/E10</f>
        <v>3636.3636363636365</v>
      </c>
      <c r="G10" s="680">
        <v>800</v>
      </c>
      <c r="H10" s="651" t="s">
        <v>464</v>
      </c>
      <c r="I10" s="652" t="s">
        <v>464</v>
      </c>
      <c r="J10" s="653" t="s">
        <v>464</v>
      </c>
      <c r="K10" s="654" t="s">
        <v>584</v>
      </c>
    </row>
    <row r="11" spans="1:11" ht="18" customHeight="1">
      <c r="A11" s="971" t="s">
        <v>585</v>
      </c>
      <c r="B11" s="972" t="s">
        <v>464</v>
      </c>
      <c r="C11" s="973" t="s">
        <v>464</v>
      </c>
      <c r="D11" s="974" t="s">
        <v>464</v>
      </c>
      <c r="E11" s="652" t="s">
        <v>464</v>
      </c>
      <c r="F11" s="652" t="s">
        <v>464</v>
      </c>
      <c r="G11" s="653" t="s">
        <v>464</v>
      </c>
      <c r="H11" s="651" t="s">
        <v>464</v>
      </c>
      <c r="I11" s="652" t="s">
        <v>464</v>
      </c>
      <c r="J11" s="653" t="s">
        <v>464</v>
      </c>
      <c r="K11" s="654" t="s">
        <v>585</v>
      </c>
    </row>
    <row r="12" spans="1:11" ht="18" customHeight="1">
      <c r="A12" s="971"/>
      <c r="B12" s="975"/>
      <c r="C12" s="976"/>
      <c r="D12" s="977"/>
      <c r="E12" s="640"/>
      <c r="F12" s="641"/>
      <c r="G12" s="656"/>
      <c r="H12" s="655"/>
      <c r="I12" s="641"/>
      <c r="J12" s="656"/>
      <c r="K12" s="654"/>
    </row>
    <row r="13" spans="1:11" ht="20.25" customHeight="1">
      <c r="A13" s="978" t="s">
        <v>588</v>
      </c>
      <c r="B13" s="2425">
        <f>SUM(B14:B18)</f>
        <v>2</v>
      </c>
      <c r="C13" s="980">
        <f>(D13*1000)/B13</f>
        <v>5000</v>
      </c>
      <c r="D13" s="2428">
        <f>SUM(D14:D18)</f>
        <v>10</v>
      </c>
      <c r="E13" s="676">
        <f>SUM(E14:E18)</f>
        <v>556</v>
      </c>
      <c r="F13" s="659">
        <f>(G13*1000)/E13</f>
        <v>3449.640287769784</v>
      </c>
      <c r="G13" s="660">
        <f>SUM(G14:G18)</f>
        <v>1918</v>
      </c>
      <c r="H13" s="658">
        <f>SUM(H14:H18)</f>
        <v>90</v>
      </c>
      <c r="I13" s="659">
        <f>(J13*1000)/H13</f>
        <v>3411.1111111111113</v>
      </c>
      <c r="J13" s="660">
        <f>SUM(J14:J18)</f>
        <v>307</v>
      </c>
      <c r="K13" s="661" t="s">
        <v>589</v>
      </c>
    </row>
    <row r="14" spans="1:11" ht="18" customHeight="1">
      <c r="A14" s="971" t="s">
        <v>590</v>
      </c>
      <c r="B14" s="2426" t="s">
        <v>464</v>
      </c>
      <c r="C14" s="973" t="s">
        <v>464</v>
      </c>
      <c r="D14" s="2429" t="s">
        <v>464</v>
      </c>
      <c r="E14" s="640">
        <v>357</v>
      </c>
      <c r="F14" s="641">
        <f>(G14*1000)/E14</f>
        <v>3865.546218487395</v>
      </c>
      <c r="G14" s="656">
        <v>1380</v>
      </c>
      <c r="H14" s="655">
        <v>51</v>
      </c>
      <c r="I14" s="641">
        <f>(J14*1000)/H14</f>
        <v>3431.372549019608</v>
      </c>
      <c r="J14" s="656">
        <v>175</v>
      </c>
      <c r="K14" s="654" t="s">
        <v>591</v>
      </c>
    </row>
    <row r="15" spans="1:11" s="783" customFormat="1" ht="18" customHeight="1">
      <c r="A15" s="971" t="s">
        <v>592</v>
      </c>
      <c r="B15" s="2426" t="s">
        <v>464</v>
      </c>
      <c r="C15" s="973" t="s">
        <v>464</v>
      </c>
      <c r="D15" s="2429" t="s">
        <v>464</v>
      </c>
      <c r="E15" s="640">
        <v>12</v>
      </c>
      <c r="F15" s="641">
        <f>(G15*1000)/E15</f>
        <v>3583.3333333333335</v>
      </c>
      <c r="G15" s="656">
        <v>43</v>
      </c>
      <c r="H15" s="655">
        <v>11</v>
      </c>
      <c r="I15" s="641">
        <f>(J15*1000)/H15</f>
        <v>3727.2727272727275</v>
      </c>
      <c r="J15" s="656">
        <v>41</v>
      </c>
      <c r="K15" s="654" t="s">
        <v>593</v>
      </c>
    </row>
    <row r="16" spans="1:11" ht="18" customHeight="1">
      <c r="A16" s="971" t="s">
        <v>594</v>
      </c>
      <c r="B16" s="2427">
        <v>2</v>
      </c>
      <c r="C16" s="976">
        <f>(D16*1000)/B16</f>
        <v>5000</v>
      </c>
      <c r="D16" s="2430">
        <v>10</v>
      </c>
      <c r="E16" s="640">
        <v>57</v>
      </c>
      <c r="F16" s="641">
        <f>(G16*1000)/E16</f>
        <v>4122.80701754386</v>
      </c>
      <c r="G16" s="656">
        <v>235</v>
      </c>
      <c r="H16" s="655">
        <v>23</v>
      </c>
      <c r="I16" s="641">
        <f>(J16*1000)/H16</f>
        <v>3304.3478260869565</v>
      </c>
      <c r="J16" s="656">
        <v>76</v>
      </c>
      <c r="K16" s="654" t="s">
        <v>594</v>
      </c>
    </row>
    <row r="17" spans="1:11" ht="18" customHeight="1">
      <c r="A17" s="971" t="s">
        <v>599</v>
      </c>
      <c r="B17" s="972" t="s">
        <v>464</v>
      </c>
      <c r="C17" s="973" t="s">
        <v>464</v>
      </c>
      <c r="D17" s="974" t="s">
        <v>464</v>
      </c>
      <c r="E17" s="640">
        <v>130</v>
      </c>
      <c r="F17" s="641">
        <f>(G17*1000)/E17</f>
        <v>2000</v>
      </c>
      <c r="G17" s="656">
        <v>260</v>
      </c>
      <c r="H17" s="679">
        <v>5</v>
      </c>
      <c r="I17" s="641">
        <f>(J17*1000)/H17</f>
        <v>3000</v>
      </c>
      <c r="J17" s="680">
        <v>15</v>
      </c>
      <c r="K17" s="654" t="s">
        <v>599</v>
      </c>
    </row>
    <row r="18" spans="1:11" ht="18" customHeight="1">
      <c r="A18" s="971" t="s">
        <v>598</v>
      </c>
      <c r="B18" s="972" t="s">
        <v>464</v>
      </c>
      <c r="C18" s="973" t="s">
        <v>464</v>
      </c>
      <c r="D18" s="974" t="s">
        <v>464</v>
      </c>
      <c r="E18" s="652" t="s">
        <v>464</v>
      </c>
      <c r="F18" s="652" t="s">
        <v>464</v>
      </c>
      <c r="G18" s="653" t="s">
        <v>464</v>
      </c>
      <c r="H18" s="651" t="s">
        <v>464</v>
      </c>
      <c r="I18" s="652" t="s">
        <v>464</v>
      </c>
      <c r="J18" s="653" t="s">
        <v>464</v>
      </c>
      <c r="K18" s="654" t="s">
        <v>598</v>
      </c>
    </row>
    <row r="19" spans="1:11" ht="18" customHeight="1">
      <c r="A19" s="343"/>
      <c r="B19" s="975"/>
      <c r="C19" s="982"/>
      <c r="D19" s="977"/>
      <c r="E19" s="983"/>
      <c r="F19" s="664"/>
      <c r="G19" s="665"/>
      <c r="H19" s="663"/>
      <c r="I19" s="664"/>
      <c r="J19" s="665"/>
      <c r="K19" s="654"/>
    </row>
    <row r="20" spans="1:11" ht="20.25" customHeight="1">
      <c r="A20" s="978" t="s">
        <v>601</v>
      </c>
      <c r="B20" s="972" t="s">
        <v>464</v>
      </c>
      <c r="C20" s="973" t="s">
        <v>464</v>
      </c>
      <c r="D20" s="974" t="s">
        <v>464</v>
      </c>
      <c r="E20" s="652" t="s">
        <v>464</v>
      </c>
      <c r="F20" s="652" t="s">
        <v>464</v>
      </c>
      <c r="G20" s="653" t="s">
        <v>464</v>
      </c>
      <c r="H20" s="658">
        <f>SUM(H21:H24)</f>
        <v>48</v>
      </c>
      <c r="I20" s="659">
        <f>(J20*1000)/H20</f>
        <v>3333.3333333333335</v>
      </c>
      <c r="J20" s="660">
        <f>SUM(J21:J24)</f>
        <v>160</v>
      </c>
      <c r="K20" s="661" t="s">
        <v>602</v>
      </c>
    </row>
    <row r="21" spans="1:11" ht="18" customHeight="1">
      <c r="A21" s="971" t="s">
        <v>603</v>
      </c>
      <c r="B21" s="972" t="s">
        <v>464</v>
      </c>
      <c r="C21" s="973" t="s">
        <v>464</v>
      </c>
      <c r="D21" s="974" t="s">
        <v>464</v>
      </c>
      <c r="E21" s="652" t="s">
        <v>464</v>
      </c>
      <c r="F21" s="652" t="s">
        <v>464</v>
      </c>
      <c r="G21" s="653" t="s">
        <v>464</v>
      </c>
      <c r="H21" s="984">
        <v>4</v>
      </c>
      <c r="I21" s="641">
        <f>(J21*1000)/H21</f>
        <v>3750</v>
      </c>
      <c r="J21" s="656">
        <v>15</v>
      </c>
      <c r="K21" s="654" t="s">
        <v>604</v>
      </c>
    </row>
    <row r="22" spans="1:11" ht="18" customHeight="1">
      <c r="A22" s="971" t="s">
        <v>605</v>
      </c>
      <c r="B22" s="972" t="s">
        <v>464</v>
      </c>
      <c r="C22" s="973" t="s">
        <v>464</v>
      </c>
      <c r="D22" s="974" t="s">
        <v>464</v>
      </c>
      <c r="E22" s="652" t="s">
        <v>464</v>
      </c>
      <c r="F22" s="652" t="s">
        <v>464</v>
      </c>
      <c r="G22" s="653" t="s">
        <v>464</v>
      </c>
      <c r="H22" s="655">
        <v>4</v>
      </c>
      <c r="I22" s="641">
        <f>(J22*1000)/H22</f>
        <v>3250</v>
      </c>
      <c r="J22" s="656">
        <v>13</v>
      </c>
      <c r="K22" s="654" t="s">
        <v>606</v>
      </c>
    </row>
    <row r="23" spans="1:11" ht="18" customHeight="1">
      <c r="A23" s="971" t="s">
        <v>607</v>
      </c>
      <c r="B23" s="972" t="s">
        <v>464</v>
      </c>
      <c r="C23" s="973" t="s">
        <v>464</v>
      </c>
      <c r="D23" s="974" t="s">
        <v>464</v>
      </c>
      <c r="E23" s="652" t="s">
        <v>464</v>
      </c>
      <c r="F23" s="652" t="s">
        <v>464</v>
      </c>
      <c r="G23" s="653" t="s">
        <v>464</v>
      </c>
      <c r="H23" s="652" t="s">
        <v>464</v>
      </c>
      <c r="I23" s="677" t="s">
        <v>464</v>
      </c>
      <c r="J23" s="653" t="s">
        <v>464</v>
      </c>
      <c r="K23" s="654" t="s">
        <v>607</v>
      </c>
    </row>
    <row r="24" spans="1:11" ht="18" customHeight="1">
      <c r="A24" s="971" t="s">
        <v>608</v>
      </c>
      <c r="B24" s="972" t="s">
        <v>464</v>
      </c>
      <c r="C24" s="973" t="s">
        <v>464</v>
      </c>
      <c r="D24" s="974" t="s">
        <v>464</v>
      </c>
      <c r="E24" s="652" t="s">
        <v>464</v>
      </c>
      <c r="F24" s="652" t="s">
        <v>464</v>
      </c>
      <c r="G24" s="653" t="s">
        <v>464</v>
      </c>
      <c r="H24" s="655">
        <v>40</v>
      </c>
      <c r="I24" s="641">
        <f>(J24*1000)/H24</f>
        <v>3300</v>
      </c>
      <c r="J24" s="656">
        <v>132</v>
      </c>
      <c r="K24" s="654" t="s">
        <v>608</v>
      </c>
    </row>
    <row r="25" spans="1:11" s="783" customFormat="1" ht="18" customHeight="1">
      <c r="A25" s="985"/>
      <c r="B25" s="979"/>
      <c r="C25" s="986"/>
      <c r="D25" s="981"/>
      <c r="E25" s="668"/>
      <c r="F25" s="668"/>
      <c r="G25" s="669"/>
      <c r="H25" s="667"/>
      <c r="I25" s="668"/>
      <c r="J25" s="669"/>
      <c r="K25" s="670"/>
    </row>
    <row r="26" spans="1:11" ht="21.75" customHeight="1">
      <c r="A26" s="985" t="s">
        <v>1286</v>
      </c>
      <c r="B26" s="2426">
        <f>SUM(B27:B28)</f>
        <v>1</v>
      </c>
      <c r="C26" s="980">
        <f>(D26*1000)/B26</f>
        <v>2500</v>
      </c>
      <c r="D26" s="2795">
        <f>SUM(D27:D28)</f>
        <v>2.5</v>
      </c>
      <c r="E26" s="668">
        <f>SUM(E27:E28)</f>
        <v>381</v>
      </c>
      <c r="F26" s="659">
        <f>(G26*1000)/E26</f>
        <v>2574.278215223097</v>
      </c>
      <c r="G26" s="1000">
        <f>SUM(G27:G28)</f>
        <v>980.8</v>
      </c>
      <c r="H26" s="667">
        <f>SUM(H27:H28)</f>
        <v>248</v>
      </c>
      <c r="I26" s="659">
        <f>(J26*1000)/H26</f>
        <v>3052.4193548387098</v>
      </c>
      <c r="J26" s="669">
        <f>SUM(J27:J28)</f>
        <v>757</v>
      </c>
      <c r="K26" s="661" t="s">
        <v>1286</v>
      </c>
    </row>
    <row r="27" spans="1:11" ht="18" customHeight="1">
      <c r="A27" s="343" t="s">
        <v>586</v>
      </c>
      <c r="B27" s="2426" t="s">
        <v>464</v>
      </c>
      <c r="C27" s="973" t="s">
        <v>464</v>
      </c>
      <c r="D27" s="2795" t="s">
        <v>464</v>
      </c>
      <c r="E27" s="983">
        <v>332</v>
      </c>
      <c r="F27" s="641">
        <f>(G27*1000)/E27</f>
        <v>2591.265060240964</v>
      </c>
      <c r="G27" s="999">
        <v>860.3</v>
      </c>
      <c r="H27" s="663">
        <v>81</v>
      </c>
      <c r="I27" s="641">
        <f>(J27*1000)/H27</f>
        <v>2987.6543209876545</v>
      </c>
      <c r="J27" s="665">
        <v>242</v>
      </c>
      <c r="K27" s="654" t="s">
        <v>586</v>
      </c>
    </row>
    <row r="28" spans="1:11" ht="18" customHeight="1">
      <c r="A28" s="343" t="s">
        <v>587</v>
      </c>
      <c r="B28" s="2794">
        <v>1</v>
      </c>
      <c r="C28" s="976">
        <f>(D28*1000)/B28</f>
        <v>2500</v>
      </c>
      <c r="D28" s="2796">
        <v>2.5</v>
      </c>
      <c r="E28" s="983">
        <v>49</v>
      </c>
      <c r="F28" s="641">
        <f>(G28*1000)/E28</f>
        <v>2459.183673469388</v>
      </c>
      <c r="G28" s="999">
        <v>120.5</v>
      </c>
      <c r="H28" s="663">
        <v>167</v>
      </c>
      <c r="I28" s="641">
        <f>(J28*1000)/H28</f>
        <v>3083.8323353293413</v>
      </c>
      <c r="J28" s="665">
        <v>515</v>
      </c>
      <c r="K28" s="654" t="s">
        <v>587</v>
      </c>
    </row>
    <row r="29" spans="1:11" ht="18" customHeight="1">
      <c r="A29" s="343"/>
      <c r="B29" s="975"/>
      <c r="C29" s="982"/>
      <c r="D29" s="977"/>
      <c r="E29" s="983"/>
      <c r="F29" s="664"/>
      <c r="G29" s="665"/>
      <c r="H29" s="663"/>
      <c r="I29" s="664"/>
      <c r="J29" s="665"/>
      <c r="K29" s="654"/>
    </row>
    <row r="30" spans="1:11" ht="21.75" customHeight="1">
      <c r="A30" s="985" t="s">
        <v>1287</v>
      </c>
      <c r="B30" s="972" t="s">
        <v>464</v>
      </c>
      <c r="C30" s="973" t="s">
        <v>464</v>
      </c>
      <c r="D30" s="974" t="s">
        <v>464</v>
      </c>
      <c r="E30" s="668">
        <f>SUM(E31:E33)</f>
        <v>174</v>
      </c>
      <c r="F30" s="659">
        <f>(G30*1000)/E30</f>
        <v>2666.6666666666665</v>
      </c>
      <c r="G30" s="669">
        <f>SUM(G31:G33)</f>
        <v>464</v>
      </c>
      <c r="H30" s="667">
        <f>SUM(H31:H33)</f>
        <v>18</v>
      </c>
      <c r="I30" s="659">
        <f>(J30*1000)/H30</f>
        <v>2722.222222222222</v>
      </c>
      <c r="J30" s="669">
        <f>SUM(J31:J33)</f>
        <v>49</v>
      </c>
      <c r="K30" s="661" t="s">
        <v>1287</v>
      </c>
    </row>
    <row r="31" spans="1:11" ht="18" customHeight="1">
      <c r="A31" s="343" t="s">
        <v>1273</v>
      </c>
      <c r="B31" s="972" t="s">
        <v>464</v>
      </c>
      <c r="C31" s="973" t="s">
        <v>464</v>
      </c>
      <c r="D31" s="974" t="s">
        <v>464</v>
      </c>
      <c r="E31" s="983">
        <v>158</v>
      </c>
      <c r="F31" s="641">
        <f>(G31*1000)/E31</f>
        <v>2632.9113924050635</v>
      </c>
      <c r="G31" s="665">
        <v>416</v>
      </c>
      <c r="H31" s="652" t="s">
        <v>464</v>
      </c>
      <c r="I31" s="677" t="s">
        <v>464</v>
      </c>
      <c r="J31" s="653" t="s">
        <v>464</v>
      </c>
      <c r="K31" s="654" t="s">
        <v>1273</v>
      </c>
    </row>
    <row r="32" spans="1:11" ht="18" customHeight="1">
      <c r="A32" s="343" t="s">
        <v>596</v>
      </c>
      <c r="B32" s="972" t="s">
        <v>464</v>
      </c>
      <c r="C32" s="973" t="s">
        <v>464</v>
      </c>
      <c r="D32" s="974" t="s">
        <v>464</v>
      </c>
      <c r="E32" s="983">
        <v>16</v>
      </c>
      <c r="F32" s="641">
        <f>(G32*1000)/E32</f>
        <v>3000</v>
      </c>
      <c r="G32" s="665">
        <v>48</v>
      </c>
      <c r="H32" s="663">
        <v>1</v>
      </c>
      <c r="I32" s="641">
        <f>(J32*1000)/H32</f>
        <v>3000</v>
      </c>
      <c r="J32" s="665">
        <v>3</v>
      </c>
      <c r="K32" s="654" t="s">
        <v>596</v>
      </c>
    </row>
    <row r="33" spans="1:11" ht="18" customHeight="1" thickBot="1">
      <c r="A33" s="671" t="s">
        <v>595</v>
      </c>
      <c r="B33" s="987" t="s">
        <v>464</v>
      </c>
      <c r="C33" s="988" t="s">
        <v>464</v>
      </c>
      <c r="D33" s="989" t="s">
        <v>464</v>
      </c>
      <c r="E33" s="686" t="s">
        <v>464</v>
      </c>
      <c r="F33" s="686" t="s">
        <v>464</v>
      </c>
      <c r="G33" s="687" t="s">
        <v>464</v>
      </c>
      <c r="H33" s="672">
        <v>17</v>
      </c>
      <c r="I33" s="344">
        <f>(J33*1000)/H33</f>
        <v>2705.8823529411766</v>
      </c>
      <c r="J33" s="673">
        <v>46</v>
      </c>
      <c r="K33" s="674" t="s">
        <v>595</v>
      </c>
    </row>
    <row r="34" spans="1:11" ht="20.25">
      <c r="A34" s="952"/>
      <c r="B34" s="949"/>
      <c r="C34" s="949"/>
      <c r="D34" s="950"/>
      <c r="E34" s="949"/>
      <c r="F34" s="949"/>
      <c r="G34" s="949"/>
      <c r="H34" s="949"/>
      <c r="I34" s="949"/>
      <c r="J34" s="949"/>
      <c r="K34" s="951"/>
    </row>
    <row r="35" spans="1:11" ht="21" thickBot="1">
      <c r="A35" s="952"/>
      <c r="B35" s="949"/>
      <c r="C35" s="949"/>
      <c r="D35" s="950"/>
      <c r="E35" s="949"/>
      <c r="F35" s="949"/>
      <c r="G35" s="949"/>
      <c r="H35" s="949"/>
      <c r="I35" s="949"/>
      <c r="J35" s="949"/>
      <c r="K35" s="951"/>
    </row>
    <row r="36" spans="1:11" ht="21" thickBot="1">
      <c r="A36" s="953"/>
      <c r="B36" s="2871" t="s">
        <v>1509</v>
      </c>
      <c r="C36" s="2872"/>
      <c r="D36" s="2873"/>
      <c r="E36" s="2871" t="s">
        <v>1470</v>
      </c>
      <c r="F36" s="2872"/>
      <c r="G36" s="2873"/>
      <c r="H36" s="2871" t="s">
        <v>1085</v>
      </c>
      <c r="I36" s="2872"/>
      <c r="J36" s="2872"/>
      <c r="K36" s="954"/>
    </row>
    <row r="37" spans="1:11" ht="20.25">
      <c r="A37" s="955" t="s">
        <v>566</v>
      </c>
      <c r="B37" s="956" t="s">
        <v>567</v>
      </c>
      <c r="C37" s="956" t="s">
        <v>568</v>
      </c>
      <c r="D37" s="957" t="s">
        <v>569</v>
      </c>
      <c r="E37" s="956" t="s">
        <v>567</v>
      </c>
      <c r="F37" s="956" t="s">
        <v>568</v>
      </c>
      <c r="G37" s="956" t="s">
        <v>569</v>
      </c>
      <c r="H37" s="956" t="s">
        <v>567</v>
      </c>
      <c r="I37" s="956" t="s">
        <v>568</v>
      </c>
      <c r="J37" s="956" t="s">
        <v>569</v>
      </c>
      <c r="K37" s="958" t="s">
        <v>570</v>
      </c>
    </row>
    <row r="38" spans="1:11" s="786" customFormat="1" ht="20.25">
      <c r="A38" s="961" t="s">
        <v>571</v>
      </c>
      <c r="B38" s="959" t="s">
        <v>572</v>
      </c>
      <c r="C38" s="959" t="s">
        <v>573</v>
      </c>
      <c r="D38" s="960" t="s">
        <v>574</v>
      </c>
      <c r="E38" s="959" t="s">
        <v>572</v>
      </c>
      <c r="F38" s="959" t="s">
        <v>573</v>
      </c>
      <c r="G38" s="959" t="s">
        <v>574</v>
      </c>
      <c r="H38" s="959" t="s">
        <v>572</v>
      </c>
      <c r="I38" s="959" t="s">
        <v>573</v>
      </c>
      <c r="J38" s="959" t="s">
        <v>574</v>
      </c>
      <c r="K38" s="961" t="s">
        <v>575</v>
      </c>
    </row>
    <row r="39" spans="1:11" ht="21" thickBot="1">
      <c r="A39" s="962"/>
      <c r="B39" s="963" t="s">
        <v>444</v>
      </c>
      <c r="C39" s="963" t="s">
        <v>576</v>
      </c>
      <c r="D39" s="964" t="s">
        <v>577</v>
      </c>
      <c r="E39" s="963" t="s">
        <v>444</v>
      </c>
      <c r="F39" s="963" t="s">
        <v>576</v>
      </c>
      <c r="G39" s="963" t="s">
        <v>577</v>
      </c>
      <c r="H39" s="990" t="s">
        <v>444</v>
      </c>
      <c r="I39" s="990" t="s">
        <v>576</v>
      </c>
      <c r="J39" s="990" t="s">
        <v>577</v>
      </c>
      <c r="K39" s="965"/>
    </row>
    <row r="40" spans="1:11" s="783" customFormat="1" ht="23.25" customHeight="1" thickBot="1">
      <c r="A40" s="675" t="s">
        <v>578</v>
      </c>
      <c r="B40" s="1863">
        <f>SUM(B46+B59+B53+B63)</f>
        <v>107</v>
      </c>
      <c r="C40" s="678">
        <f>(D40*1000)/B40</f>
        <v>1028.03738317757</v>
      </c>
      <c r="D40" s="2213">
        <f>SUM(D46+D59+D53+D63)</f>
        <v>110</v>
      </c>
      <c r="E40" s="2582">
        <f>SUM(E53+E59+E46+E63)</f>
        <v>19</v>
      </c>
      <c r="F40" s="678">
        <f>(G40*1000)/E40</f>
        <v>3289.4736842105262</v>
      </c>
      <c r="G40" s="1875">
        <f>SUM(G53+G59+G46+G63)</f>
        <v>62.5</v>
      </c>
      <c r="H40" s="2213">
        <f>SUM(H41+H46+H53+H59+H63)</f>
        <v>248</v>
      </c>
      <c r="I40" s="678">
        <f>(J40*1000)/H40</f>
        <v>1544.758064516129</v>
      </c>
      <c r="J40" s="2213">
        <f>SUM(J41+J46+J53+J59+J63)</f>
        <v>383.1</v>
      </c>
      <c r="K40" s="645" t="s">
        <v>579</v>
      </c>
    </row>
    <row r="41" spans="1:11" s="783" customFormat="1" ht="19.5" customHeight="1">
      <c r="A41" s="646" t="s">
        <v>580</v>
      </c>
      <c r="B41" s="992" t="s">
        <v>464</v>
      </c>
      <c r="C41" s="652" t="s">
        <v>464</v>
      </c>
      <c r="D41" s="1047" t="s">
        <v>464</v>
      </c>
      <c r="E41" s="992" t="s">
        <v>464</v>
      </c>
      <c r="F41" s="652" t="s">
        <v>464</v>
      </c>
      <c r="G41" s="993" t="s">
        <v>464</v>
      </c>
      <c r="H41" s="2207">
        <f>SUM(H42:H44)</f>
        <v>8</v>
      </c>
      <c r="I41" s="644">
        <f>(J41*1000)/H41</f>
        <v>1750</v>
      </c>
      <c r="J41" s="2414">
        <f>SUM(J42:J44)</f>
        <v>14</v>
      </c>
      <c r="K41" s="1895" t="s">
        <v>581</v>
      </c>
    </row>
    <row r="42" spans="1:11" ht="17.25" customHeight="1">
      <c r="A42" s="650" t="s">
        <v>582</v>
      </c>
      <c r="B42" s="992" t="s">
        <v>464</v>
      </c>
      <c r="C42" s="652" t="s">
        <v>464</v>
      </c>
      <c r="D42" s="1047" t="s">
        <v>464</v>
      </c>
      <c r="E42" s="992" t="s">
        <v>464</v>
      </c>
      <c r="F42" s="652" t="s">
        <v>464</v>
      </c>
      <c r="G42" s="993" t="s">
        <v>464</v>
      </c>
      <c r="H42" s="1045" t="s">
        <v>464</v>
      </c>
      <c r="I42" s="652" t="s">
        <v>464</v>
      </c>
      <c r="J42" s="1046" t="s">
        <v>464</v>
      </c>
      <c r="K42" s="1896" t="s">
        <v>583</v>
      </c>
    </row>
    <row r="43" spans="1:11" ht="17.25" customHeight="1">
      <c r="A43" s="650" t="s">
        <v>584</v>
      </c>
      <c r="B43" s="992" t="s">
        <v>464</v>
      </c>
      <c r="C43" s="652" t="s">
        <v>464</v>
      </c>
      <c r="D43" s="1047" t="s">
        <v>464</v>
      </c>
      <c r="E43" s="992" t="s">
        <v>464</v>
      </c>
      <c r="F43" s="652" t="s">
        <v>464</v>
      </c>
      <c r="G43" s="993" t="s">
        <v>464</v>
      </c>
      <c r="H43" s="1045" t="s">
        <v>464</v>
      </c>
      <c r="I43" s="652" t="s">
        <v>464</v>
      </c>
      <c r="J43" s="1046" t="s">
        <v>464</v>
      </c>
      <c r="K43" s="1896" t="s">
        <v>584</v>
      </c>
    </row>
    <row r="44" spans="1:11" ht="17.25" customHeight="1">
      <c r="A44" s="650" t="s">
        <v>585</v>
      </c>
      <c r="B44" s="992" t="s">
        <v>464</v>
      </c>
      <c r="C44" s="652" t="s">
        <v>464</v>
      </c>
      <c r="D44" s="1047" t="s">
        <v>464</v>
      </c>
      <c r="E44" s="992" t="s">
        <v>464</v>
      </c>
      <c r="F44" s="652" t="s">
        <v>464</v>
      </c>
      <c r="G44" s="993" t="s">
        <v>464</v>
      </c>
      <c r="H44" s="1842">
        <v>8</v>
      </c>
      <c r="I44" s="641">
        <f>(J44*1000)/H44</f>
        <v>1750</v>
      </c>
      <c r="J44" s="2413">
        <v>14</v>
      </c>
      <c r="K44" s="1896" t="s">
        <v>585</v>
      </c>
    </row>
    <row r="45" spans="1:11" ht="17.25" customHeight="1">
      <c r="A45" s="650"/>
      <c r="B45" s="995"/>
      <c r="C45" s="641"/>
      <c r="D45" s="1864"/>
      <c r="E45" s="655"/>
      <c r="F45" s="641"/>
      <c r="G45" s="656"/>
      <c r="H45" s="995"/>
      <c r="I45" s="641"/>
      <c r="J45" s="1874"/>
      <c r="K45" s="1896"/>
    </row>
    <row r="46" spans="1:11" ht="21" customHeight="1">
      <c r="A46" s="657" t="s">
        <v>588</v>
      </c>
      <c r="B46" s="1042">
        <f>SUM(B47:B51)</f>
        <v>9</v>
      </c>
      <c r="C46" s="659">
        <f>(D46*1000)/B46</f>
        <v>3000</v>
      </c>
      <c r="D46" s="1872">
        <f>SUM(D47:D51)</f>
        <v>27</v>
      </c>
      <c r="E46" s="1045">
        <f>SUM(E47:E51)</f>
        <v>6</v>
      </c>
      <c r="F46" s="659">
        <f>(G46*1000)/E46</f>
        <v>3333.3333333333335</v>
      </c>
      <c r="G46" s="1047">
        <f>SUM(G47:G51)</f>
        <v>20</v>
      </c>
      <c r="H46" s="1042">
        <f>SUM(H47:H51)</f>
        <v>98</v>
      </c>
      <c r="I46" s="659">
        <f>(J46*1000)/H46</f>
        <v>1753.061224489796</v>
      </c>
      <c r="J46" s="2583">
        <f>SUM(J47:J51)</f>
        <v>171.8</v>
      </c>
      <c r="K46" s="1897" t="s">
        <v>589</v>
      </c>
    </row>
    <row r="47" spans="1:11" ht="17.25" customHeight="1">
      <c r="A47" s="650" t="s">
        <v>590</v>
      </c>
      <c r="B47" s="1045" t="s">
        <v>464</v>
      </c>
      <c r="C47" s="652" t="s">
        <v>464</v>
      </c>
      <c r="D47" s="1047" t="s">
        <v>464</v>
      </c>
      <c r="E47" s="1842">
        <v>5</v>
      </c>
      <c r="F47" s="641">
        <f>(G47*1000)/E47</f>
        <v>3340</v>
      </c>
      <c r="G47" s="994">
        <v>16.7</v>
      </c>
      <c r="H47" s="641">
        <v>28</v>
      </c>
      <c r="I47" s="641">
        <f>(J47*1000)/H47</f>
        <v>1750</v>
      </c>
      <c r="J47" s="2413">
        <v>49</v>
      </c>
      <c r="K47" s="1896" t="s">
        <v>591</v>
      </c>
    </row>
    <row r="48" spans="1:11" s="783" customFormat="1" ht="17.25" customHeight="1">
      <c r="A48" s="650" t="s">
        <v>592</v>
      </c>
      <c r="B48" s="1035">
        <v>6</v>
      </c>
      <c r="C48" s="641">
        <f>(D48*1000)/B48</f>
        <v>3166.6666666666665</v>
      </c>
      <c r="D48" s="1864">
        <v>19</v>
      </c>
      <c r="E48" s="1842">
        <v>1</v>
      </c>
      <c r="F48" s="641">
        <f>(G48*1000)/E48</f>
        <v>3300</v>
      </c>
      <c r="G48" s="994">
        <v>3.3</v>
      </c>
      <c r="H48" s="1035">
        <v>5</v>
      </c>
      <c r="I48" s="641">
        <f>(J48*1000)/H48</f>
        <v>1800</v>
      </c>
      <c r="J48" s="1048">
        <v>9</v>
      </c>
      <c r="K48" s="1896" t="s">
        <v>593</v>
      </c>
    </row>
    <row r="49" spans="1:11" ht="17.25" customHeight="1">
      <c r="A49" s="650" t="s">
        <v>594</v>
      </c>
      <c r="B49" s="1842">
        <v>3</v>
      </c>
      <c r="C49" s="641">
        <f>(D49*1000)/B49</f>
        <v>2666.6666666666665</v>
      </c>
      <c r="D49" s="1846">
        <v>8</v>
      </c>
      <c r="E49" s="1890" t="s">
        <v>464</v>
      </c>
      <c r="F49" s="677" t="s">
        <v>464</v>
      </c>
      <c r="G49" s="994" t="s">
        <v>464</v>
      </c>
      <c r="H49" s="1035">
        <v>65</v>
      </c>
      <c r="I49" s="641">
        <f>(J49*1000)/H49</f>
        <v>1750.7692307692307</v>
      </c>
      <c r="J49" s="1874">
        <v>113.8</v>
      </c>
      <c r="K49" s="1896" t="s">
        <v>594</v>
      </c>
    </row>
    <row r="50" spans="1:11" ht="17.25" customHeight="1">
      <c r="A50" s="650" t="s">
        <v>599</v>
      </c>
      <c r="B50" s="992" t="s">
        <v>464</v>
      </c>
      <c r="C50" s="652" t="s">
        <v>464</v>
      </c>
      <c r="D50" s="1047" t="s">
        <v>464</v>
      </c>
      <c r="E50" s="1890" t="s">
        <v>464</v>
      </c>
      <c r="F50" s="677" t="s">
        <v>464</v>
      </c>
      <c r="G50" s="994" t="s">
        <v>464</v>
      </c>
      <c r="H50" s="992" t="s">
        <v>464</v>
      </c>
      <c r="I50" s="652" t="s">
        <v>464</v>
      </c>
      <c r="J50" s="1891" t="s">
        <v>464</v>
      </c>
      <c r="K50" s="1896" t="s">
        <v>599</v>
      </c>
    </row>
    <row r="51" spans="1:11" ht="17.25" customHeight="1">
      <c r="A51" s="650" t="s">
        <v>598</v>
      </c>
      <c r="B51" s="992" t="s">
        <v>464</v>
      </c>
      <c r="C51" s="652" t="s">
        <v>464</v>
      </c>
      <c r="D51" s="1047" t="s">
        <v>464</v>
      </c>
      <c r="E51" s="1890" t="s">
        <v>464</v>
      </c>
      <c r="F51" s="677" t="s">
        <v>464</v>
      </c>
      <c r="G51" s="994" t="s">
        <v>464</v>
      </c>
      <c r="H51" s="992" t="s">
        <v>464</v>
      </c>
      <c r="I51" s="652" t="s">
        <v>464</v>
      </c>
      <c r="J51" s="1891" t="s">
        <v>464</v>
      </c>
      <c r="K51" s="1896" t="s">
        <v>598</v>
      </c>
    </row>
    <row r="52" spans="1:11" ht="17.25" customHeight="1">
      <c r="A52" s="662"/>
      <c r="B52" s="995"/>
      <c r="C52" s="664"/>
      <c r="D52" s="1041"/>
      <c r="E52" s="663"/>
      <c r="F52" s="664"/>
      <c r="G52" s="665"/>
      <c r="H52" s="995"/>
      <c r="I52" s="664"/>
      <c r="J52" s="1892"/>
      <c r="K52" s="1896"/>
    </row>
    <row r="53" spans="1:11" ht="21" customHeight="1">
      <c r="A53" s="657" t="s">
        <v>601</v>
      </c>
      <c r="B53" s="651">
        <f>SUM(B54:B57)</f>
        <v>5</v>
      </c>
      <c r="C53" s="980">
        <f>(D53*1000)/B53</f>
        <v>1800</v>
      </c>
      <c r="D53" s="1047">
        <f>SUM(D54:D57)</f>
        <v>9</v>
      </c>
      <c r="E53" s="658">
        <f>SUM(E54:E57)</f>
        <v>3</v>
      </c>
      <c r="F53" s="659">
        <f>(G53*1000)/E53</f>
        <v>3100</v>
      </c>
      <c r="G53" s="1219">
        <f>SUM(G54:G57)</f>
        <v>9.3</v>
      </c>
      <c r="H53" s="1042">
        <f>SUM(H54:H57)</f>
        <v>14</v>
      </c>
      <c r="I53" s="659">
        <f>(J53*1000)/H53</f>
        <v>2250</v>
      </c>
      <c r="J53" s="1043">
        <f>SUM(J54:J57)</f>
        <v>31.5</v>
      </c>
      <c r="K53" s="1897" t="s">
        <v>602</v>
      </c>
    </row>
    <row r="54" spans="1:11" ht="17.25" customHeight="1">
      <c r="A54" s="650" t="s">
        <v>603</v>
      </c>
      <c r="B54" s="679">
        <v>2</v>
      </c>
      <c r="C54" s="976">
        <f>(D54*1000)/B54</f>
        <v>1500</v>
      </c>
      <c r="D54" s="1846">
        <v>3</v>
      </c>
      <c r="E54" s="1842">
        <v>1</v>
      </c>
      <c r="F54" s="976">
        <f>(G54*1000)/E54</f>
        <v>3300</v>
      </c>
      <c r="G54" s="994">
        <v>3.3</v>
      </c>
      <c r="H54" s="1842">
        <v>2</v>
      </c>
      <c r="I54" s="641">
        <f>(J54*1000)/H54</f>
        <v>1750</v>
      </c>
      <c r="J54" s="1229">
        <v>3.5</v>
      </c>
      <c r="K54" s="1896" t="s">
        <v>604</v>
      </c>
    </row>
    <row r="55" spans="1:11" ht="17.25" customHeight="1">
      <c r="A55" s="650" t="s">
        <v>605</v>
      </c>
      <c r="B55" s="679" t="s">
        <v>464</v>
      </c>
      <c r="C55" s="677" t="s">
        <v>464</v>
      </c>
      <c r="D55" s="1846" t="s">
        <v>464</v>
      </c>
      <c r="E55" s="992" t="s">
        <v>464</v>
      </c>
      <c r="F55" s="652" t="s">
        <v>464</v>
      </c>
      <c r="G55" s="993" t="s">
        <v>464</v>
      </c>
      <c r="H55" s="992" t="s">
        <v>464</v>
      </c>
      <c r="I55" s="652" t="s">
        <v>464</v>
      </c>
      <c r="J55" s="1891" t="s">
        <v>464</v>
      </c>
      <c r="K55" s="1896" t="s">
        <v>606</v>
      </c>
    </row>
    <row r="56" spans="1:11" ht="17.25" customHeight="1">
      <c r="A56" s="650" t="s">
        <v>607</v>
      </c>
      <c r="B56" s="679" t="s">
        <v>464</v>
      </c>
      <c r="C56" s="677" t="s">
        <v>464</v>
      </c>
      <c r="D56" s="1846" t="s">
        <v>464</v>
      </c>
      <c r="E56" s="992" t="s">
        <v>464</v>
      </c>
      <c r="F56" s="652" t="s">
        <v>464</v>
      </c>
      <c r="G56" s="993" t="s">
        <v>464</v>
      </c>
      <c r="H56" s="992" t="s">
        <v>464</v>
      </c>
      <c r="I56" s="652" t="s">
        <v>464</v>
      </c>
      <c r="J56" s="1891" t="s">
        <v>464</v>
      </c>
      <c r="K56" s="1896" t="s">
        <v>607</v>
      </c>
    </row>
    <row r="57" spans="1:13" ht="17.25" customHeight="1">
      <c r="A57" s="650" t="s">
        <v>608</v>
      </c>
      <c r="B57" s="679">
        <v>3</v>
      </c>
      <c r="C57" s="976">
        <f>(D57*1000)/B57</f>
        <v>2000</v>
      </c>
      <c r="D57" s="1846">
        <v>6</v>
      </c>
      <c r="E57" s="655">
        <v>2</v>
      </c>
      <c r="F57" s="641">
        <f>(G57*1000)/E57</f>
        <v>3000</v>
      </c>
      <c r="G57" s="656">
        <v>6</v>
      </c>
      <c r="H57" s="1035">
        <v>12</v>
      </c>
      <c r="I57" s="641">
        <f>(J57*1000)/H57</f>
        <v>2333.3333333333335</v>
      </c>
      <c r="J57" s="1048">
        <v>28</v>
      </c>
      <c r="K57" s="1896" t="s">
        <v>608</v>
      </c>
      <c r="M57" s="787" t="s">
        <v>1292</v>
      </c>
    </row>
    <row r="58" spans="1:11" s="783" customFormat="1" ht="17.25" customHeight="1">
      <c r="A58" s="666"/>
      <c r="B58" s="997"/>
      <c r="C58" s="668"/>
      <c r="D58" s="1044"/>
      <c r="E58" s="667"/>
      <c r="F58" s="668"/>
      <c r="G58" s="669"/>
      <c r="H58" s="997"/>
      <c r="I58" s="668"/>
      <c r="J58" s="1893"/>
      <c r="K58" s="1898"/>
    </row>
    <row r="59" spans="1:11" ht="23.25" customHeight="1">
      <c r="A59" s="666" t="s">
        <v>1286</v>
      </c>
      <c r="B59" s="1039">
        <f>SUM(B60:B61)</f>
        <v>91</v>
      </c>
      <c r="C59" s="980">
        <f>(D59*1000)/B59</f>
        <v>802.1978021978022</v>
      </c>
      <c r="D59" s="2432">
        <f>SUM(D60:D61)</f>
        <v>73</v>
      </c>
      <c r="E59" s="1002">
        <f>SUM(E60:E61)</f>
        <v>9.5</v>
      </c>
      <c r="F59" s="980">
        <f>(G59*1000)/E59</f>
        <v>3357.8947368421054</v>
      </c>
      <c r="G59" s="1003">
        <f>SUM(G60:G61)</f>
        <v>31.9</v>
      </c>
      <c r="H59" s="1001">
        <f>SUM(H60:H61)</f>
        <v>125.5</v>
      </c>
      <c r="I59" s="980">
        <f>(J59*1000)/H59</f>
        <v>1282.8685258964144</v>
      </c>
      <c r="J59" s="2584">
        <f>SUM(J60:J61)</f>
        <v>161</v>
      </c>
      <c r="K59" s="1897" t="s">
        <v>1286</v>
      </c>
    </row>
    <row r="60" spans="1:11" ht="17.25" customHeight="1">
      <c r="A60" s="662" t="s">
        <v>586</v>
      </c>
      <c r="B60" s="1025">
        <v>33</v>
      </c>
      <c r="C60" s="976">
        <f>(D60*1000)/B60</f>
        <v>666.6666666666666</v>
      </c>
      <c r="D60" s="2433">
        <v>22</v>
      </c>
      <c r="E60" s="724">
        <v>6.5</v>
      </c>
      <c r="F60" s="976">
        <f>(G60*1000)/E60</f>
        <v>3692.3076923076924</v>
      </c>
      <c r="G60" s="1004">
        <v>24</v>
      </c>
      <c r="H60" s="2243">
        <v>58.5</v>
      </c>
      <c r="I60" s="976">
        <f>(J60*1000)/H60</f>
        <v>1299.145299145299</v>
      </c>
      <c r="J60" s="1038">
        <v>76</v>
      </c>
      <c r="K60" s="1896" t="s">
        <v>586</v>
      </c>
    </row>
    <row r="61" spans="1:11" ht="17.25" customHeight="1">
      <c r="A61" s="662" t="s">
        <v>587</v>
      </c>
      <c r="B61" s="1025">
        <v>58</v>
      </c>
      <c r="C61" s="976">
        <f>(D61*1000)/B61</f>
        <v>879.3103448275862</v>
      </c>
      <c r="D61" s="2433">
        <v>51</v>
      </c>
      <c r="E61" s="724">
        <v>3</v>
      </c>
      <c r="F61" s="976">
        <f>(G61*1000)/E61</f>
        <v>2633.3333333333335</v>
      </c>
      <c r="G61" s="1004">
        <v>7.9</v>
      </c>
      <c r="H61" s="2244">
        <v>67</v>
      </c>
      <c r="I61" s="976">
        <f>(J61*1000)/H61</f>
        <v>1268.6567164179105</v>
      </c>
      <c r="J61" s="1038">
        <v>85</v>
      </c>
      <c r="K61" s="1896" t="s">
        <v>587</v>
      </c>
    </row>
    <row r="62" spans="1:11" ht="17.25" customHeight="1">
      <c r="A62" s="662"/>
      <c r="B62" s="995"/>
      <c r="C62" s="664"/>
      <c r="D62" s="999"/>
      <c r="E62" s="663"/>
      <c r="F62" s="664"/>
      <c r="G62" s="665"/>
      <c r="H62" s="995"/>
      <c r="I62" s="664"/>
      <c r="J62" s="1892"/>
      <c r="K62" s="1896"/>
    </row>
    <row r="63" spans="1:11" ht="20.25" customHeight="1">
      <c r="A63" s="666" t="s">
        <v>1287</v>
      </c>
      <c r="B63" s="1045">
        <f>SUM(B64:B66)</f>
        <v>2</v>
      </c>
      <c r="C63" s="2581">
        <f>(D63*1000)/B63</f>
        <v>500</v>
      </c>
      <c r="D63" s="1047">
        <f>SUM(D64:D66)</f>
        <v>1</v>
      </c>
      <c r="E63" s="992">
        <f>SUM(E64:E66)</f>
        <v>0.5</v>
      </c>
      <c r="F63" s="980">
        <f>(G63*1000)/E63</f>
        <v>2600</v>
      </c>
      <c r="G63" s="993">
        <f>SUM(G64:G66)</f>
        <v>1.3</v>
      </c>
      <c r="H63" s="997">
        <f>SUM(H64:H66)</f>
        <v>2.5</v>
      </c>
      <c r="I63" s="659">
        <f>(J63*1000)/H63</f>
        <v>1920</v>
      </c>
      <c r="J63" s="1893">
        <f>SUM(J64:J66)</f>
        <v>4.8</v>
      </c>
      <c r="K63" s="1897" t="s">
        <v>1287</v>
      </c>
    </row>
    <row r="64" spans="1:11" ht="17.25" customHeight="1">
      <c r="A64" s="662" t="s">
        <v>1273</v>
      </c>
      <c r="B64" s="1842">
        <v>2</v>
      </c>
      <c r="C64" s="982">
        <f>(D64*1000)/B64</f>
        <v>500</v>
      </c>
      <c r="D64" s="1846">
        <v>1</v>
      </c>
      <c r="E64" s="1890">
        <v>0.5</v>
      </c>
      <c r="F64" s="976">
        <f>(G64*1000)/E64</f>
        <v>2600</v>
      </c>
      <c r="G64" s="994">
        <v>1.3</v>
      </c>
      <c r="H64" s="1890">
        <v>0.5</v>
      </c>
      <c r="I64" s="641">
        <f>(J64*1000)/H64</f>
        <v>2600</v>
      </c>
      <c r="J64" s="1229">
        <v>1.3</v>
      </c>
      <c r="K64" s="1896" t="s">
        <v>1273</v>
      </c>
    </row>
    <row r="65" spans="1:11" ht="17.25" customHeight="1">
      <c r="A65" s="662" t="s">
        <v>596</v>
      </c>
      <c r="B65" s="1890" t="s">
        <v>464</v>
      </c>
      <c r="C65" s="677" t="s">
        <v>464</v>
      </c>
      <c r="D65" s="994" t="s">
        <v>464</v>
      </c>
      <c r="E65" s="992" t="s">
        <v>464</v>
      </c>
      <c r="F65" s="652" t="s">
        <v>464</v>
      </c>
      <c r="G65" s="993" t="s">
        <v>464</v>
      </c>
      <c r="H65" s="1035">
        <v>2</v>
      </c>
      <c r="I65" s="641">
        <f>(J65*1000)/H65</f>
        <v>1750</v>
      </c>
      <c r="J65" s="664">
        <v>3.5</v>
      </c>
      <c r="K65" s="1896" t="s">
        <v>596</v>
      </c>
    </row>
    <row r="66" spans="1:11" ht="17.25" customHeight="1" thickBot="1">
      <c r="A66" s="671" t="s">
        <v>595</v>
      </c>
      <c r="B66" s="1005" t="s">
        <v>464</v>
      </c>
      <c r="C66" s="686" t="s">
        <v>464</v>
      </c>
      <c r="D66" s="1006" t="s">
        <v>464</v>
      </c>
      <c r="E66" s="1005" t="s">
        <v>464</v>
      </c>
      <c r="F66" s="686" t="s">
        <v>464</v>
      </c>
      <c r="G66" s="1006" t="s">
        <v>464</v>
      </c>
      <c r="H66" s="1005" t="s">
        <v>464</v>
      </c>
      <c r="I66" s="686" t="s">
        <v>464</v>
      </c>
      <c r="J66" s="1894" t="s">
        <v>464</v>
      </c>
      <c r="K66" s="1899" t="s">
        <v>595</v>
      </c>
    </row>
    <row r="67" spans="1:11" ht="15.75">
      <c r="A67" s="161"/>
      <c r="B67" s="162"/>
      <c r="C67" s="162"/>
      <c r="D67" s="346"/>
      <c r="E67" s="162"/>
      <c r="F67" s="162"/>
      <c r="G67" s="162"/>
      <c r="H67" s="162"/>
      <c r="I67" s="162"/>
      <c r="J67" s="162"/>
      <c r="K67" s="578"/>
    </row>
  </sheetData>
  <sheetProtection/>
  <mergeCells count="6">
    <mergeCell ref="B3:D3"/>
    <mergeCell ref="E3:G3"/>
    <mergeCell ref="H3:J3"/>
    <mergeCell ref="B36:D36"/>
    <mergeCell ref="E36:G36"/>
    <mergeCell ref="H36:J36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="59" zoomScaleNormal="59" zoomScalePageLayoutView="0" workbookViewId="0" topLeftCell="A1">
      <selection activeCell="M26" sqref="M26"/>
    </sheetView>
  </sheetViews>
  <sheetFormatPr defaultColWidth="9.140625" defaultRowHeight="12.75"/>
  <cols>
    <col min="1" max="1" width="21.7109375" style="304" customWidth="1"/>
    <col min="2" max="2" width="11.140625" style="160" customWidth="1"/>
    <col min="3" max="3" width="10.8515625" style="160" customWidth="1"/>
    <col min="4" max="4" width="15.28125" style="160" customWidth="1"/>
    <col min="5" max="5" width="11.00390625" style="160" bestFit="1" customWidth="1"/>
    <col min="6" max="6" width="10.421875" style="160" customWidth="1"/>
    <col min="7" max="7" width="15.00390625" style="160" customWidth="1"/>
    <col min="8" max="8" width="11.140625" style="160" customWidth="1"/>
    <col min="9" max="9" width="10.421875" style="160" customWidth="1"/>
    <col min="10" max="10" width="16.00390625" style="160" customWidth="1"/>
    <col min="11" max="11" width="23.28125" style="575" customWidth="1"/>
    <col min="12" max="16384" width="9.140625" style="304" customWidth="1"/>
  </cols>
  <sheetData>
    <row r="1" spans="1:11" ht="20.25">
      <c r="A1" s="154" t="s">
        <v>631</v>
      </c>
      <c r="B1" s="159"/>
      <c r="C1" s="159"/>
      <c r="D1" s="159"/>
      <c r="E1" s="159"/>
      <c r="F1" s="159"/>
      <c r="G1" s="159"/>
      <c r="H1" s="159"/>
      <c r="I1" s="159"/>
      <c r="J1" s="159"/>
      <c r="K1" s="1007"/>
    </row>
    <row r="2" spans="1:11" ht="21" thickBot="1">
      <c r="A2" s="108"/>
      <c r="B2" s="159"/>
      <c r="C2" s="159"/>
      <c r="D2" s="159"/>
      <c r="E2" s="159"/>
      <c r="F2" s="159"/>
      <c r="G2" s="159"/>
      <c r="H2" s="159"/>
      <c r="I2" s="159"/>
      <c r="J2" s="159"/>
      <c r="K2" s="1007"/>
    </row>
    <row r="3" spans="1:11" ht="21" thickBot="1">
      <c r="A3" s="1008"/>
      <c r="B3" s="2874" t="s">
        <v>1471</v>
      </c>
      <c r="C3" s="2875"/>
      <c r="D3" s="2876"/>
      <c r="E3" s="2874" t="s">
        <v>1472</v>
      </c>
      <c r="F3" s="2875"/>
      <c r="G3" s="2876"/>
      <c r="H3" s="2874" t="s">
        <v>1473</v>
      </c>
      <c r="I3" s="2875"/>
      <c r="J3" s="2876"/>
      <c r="K3" s="1009"/>
    </row>
    <row r="4" spans="1:11" ht="20.25">
      <c r="A4" s="1010" t="s">
        <v>566</v>
      </c>
      <c r="B4" s="536" t="s">
        <v>567</v>
      </c>
      <c r="C4" s="536" t="s">
        <v>568</v>
      </c>
      <c r="D4" s="536" t="s">
        <v>569</v>
      </c>
      <c r="E4" s="536" t="s">
        <v>567</v>
      </c>
      <c r="F4" s="536" t="s">
        <v>568</v>
      </c>
      <c r="G4" s="536" t="s">
        <v>569</v>
      </c>
      <c r="H4" s="536" t="s">
        <v>567</v>
      </c>
      <c r="I4" s="536" t="s">
        <v>568</v>
      </c>
      <c r="J4" s="536" t="s">
        <v>569</v>
      </c>
      <c r="K4" s="1011" t="s">
        <v>570</v>
      </c>
    </row>
    <row r="5" spans="1:11" s="575" customFormat="1" ht="20.25">
      <c r="A5" s="1010" t="s">
        <v>571</v>
      </c>
      <c r="B5" s="639" t="s">
        <v>572</v>
      </c>
      <c r="C5" s="639" t="s">
        <v>573</v>
      </c>
      <c r="D5" s="639" t="s">
        <v>574</v>
      </c>
      <c r="E5" s="639" t="s">
        <v>572</v>
      </c>
      <c r="F5" s="639" t="s">
        <v>573</v>
      </c>
      <c r="G5" s="639" t="s">
        <v>574</v>
      </c>
      <c r="H5" s="639" t="s">
        <v>572</v>
      </c>
      <c r="I5" s="639" t="s">
        <v>573</v>
      </c>
      <c r="J5" s="639" t="s">
        <v>574</v>
      </c>
      <c r="K5" s="1012" t="s">
        <v>575</v>
      </c>
    </row>
    <row r="6" spans="1:11" ht="21" thickBot="1">
      <c r="A6" s="1013"/>
      <c r="B6" s="535" t="s">
        <v>444</v>
      </c>
      <c r="C6" s="535" t="s">
        <v>576</v>
      </c>
      <c r="D6" s="535" t="s">
        <v>577</v>
      </c>
      <c r="E6" s="535" t="s">
        <v>444</v>
      </c>
      <c r="F6" s="535" t="s">
        <v>576</v>
      </c>
      <c r="G6" s="535" t="s">
        <v>577</v>
      </c>
      <c r="H6" s="535" t="s">
        <v>444</v>
      </c>
      <c r="I6" s="535" t="s">
        <v>576</v>
      </c>
      <c r="J6" s="535" t="s">
        <v>577</v>
      </c>
      <c r="K6" s="1014"/>
    </row>
    <row r="7" spans="1:11" s="328" customFormat="1" ht="21" thickBot="1">
      <c r="A7" s="688" t="s">
        <v>578</v>
      </c>
      <c r="B7" s="689">
        <f>SUM(B8+B13+B26+B30+B20)</f>
        <v>236</v>
      </c>
      <c r="C7" s="644">
        <f>(D7*1000)/B7</f>
        <v>1398.3050847457628</v>
      </c>
      <c r="D7" s="1843">
        <f>SUM(D8+D13+D26+D30+D20)</f>
        <v>330</v>
      </c>
      <c r="E7" s="689">
        <f>SUM(E13+E20+E26+E30)</f>
        <v>64</v>
      </c>
      <c r="F7" s="644">
        <f>(G7*1000)/E7</f>
        <v>1428.5937499999998</v>
      </c>
      <c r="G7" s="1015">
        <f>SUM(G13+G20+G26+G30)</f>
        <v>91.42999999999999</v>
      </c>
      <c r="H7" s="1016">
        <f>SUM(H13+H20+H26+H30)</f>
        <v>86</v>
      </c>
      <c r="I7" s="1017">
        <f>(J7*1000)/H7</f>
        <v>5372.093023255814</v>
      </c>
      <c r="J7" s="2585">
        <f>SUM(J13+J20+J26+J30)</f>
        <v>462</v>
      </c>
      <c r="K7" s="690" t="s">
        <v>579</v>
      </c>
    </row>
    <row r="8" spans="1:11" s="328" customFormat="1" ht="20.25">
      <c r="A8" s="646" t="s">
        <v>580</v>
      </c>
      <c r="B8" s="647">
        <f>SUM(B9:B11)</f>
        <v>110</v>
      </c>
      <c r="C8" s="644">
        <f>(D8*1000)/B8</f>
        <v>1272.7272727272727</v>
      </c>
      <c r="D8" s="648">
        <f>SUM(D9:D11)</f>
        <v>140</v>
      </c>
      <c r="E8" s="1018" t="s">
        <v>464</v>
      </c>
      <c r="F8" s="683" t="s">
        <v>464</v>
      </c>
      <c r="G8" s="1019" t="s">
        <v>464</v>
      </c>
      <c r="H8" s="1018" t="s">
        <v>464</v>
      </c>
      <c r="I8" s="683" t="s">
        <v>464</v>
      </c>
      <c r="J8" s="1019" t="s">
        <v>464</v>
      </c>
      <c r="K8" s="649" t="s">
        <v>581</v>
      </c>
    </row>
    <row r="9" spans="1:11" ht="18" customHeight="1">
      <c r="A9" s="650" t="s">
        <v>582</v>
      </c>
      <c r="B9" s="651" t="s">
        <v>464</v>
      </c>
      <c r="C9" s="652" t="s">
        <v>464</v>
      </c>
      <c r="D9" s="653" t="s">
        <v>464</v>
      </c>
      <c r="E9" s="1020" t="s">
        <v>464</v>
      </c>
      <c r="F9" s="652" t="s">
        <v>464</v>
      </c>
      <c r="G9" s="1021" t="s">
        <v>464</v>
      </c>
      <c r="H9" s="1020" t="s">
        <v>464</v>
      </c>
      <c r="I9" s="652" t="s">
        <v>464</v>
      </c>
      <c r="J9" s="1021" t="s">
        <v>464</v>
      </c>
      <c r="K9" s="654" t="s">
        <v>583</v>
      </c>
    </row>
    <row r="10" spans="1:11" ht="18" customHeight="1">
      <c r="A10" s="650" t="s">
        <v>584</v>
      </c>
      <c r="B10" s="679">
        <v>110</v>
      </c>
      <c r="C10" s="641">
        <f>(D10*1000)/B10</f>
        <v>1272.7272727272727</v>
      </c>
      <c r="D10" s="680">
        <v>140</v>
      </c>
      <c r="E10" s="1020" t="s">
        <v>464</v>
      </c>
      <c r="F10" s="652" t="s">
        <v>464</v>
      </c>
      <c r="G10" s="1021" t="s">
        <v>464</v>
      </c>
      <c r="H10" s="1020" t="s">
        <v>464</v>
      </c>
      <c r="I10" s="652" t="s">
        <v>464</v>
      </c>
      <c r="J10" s="1021" t="s">
        <v>464</v>
      </c>
      <c r="K10" s="654" t="s">
        <v>584</v>
      </c>
    </row>
    <row r="11" spans="1:11" ht="18" customHeight="1">
      <c r="A11" s="650" t="s">
        <v>585</v>
      </c>
      <c r="B11" s="651" t="s">
        <v>464</v>
      </c>
      <c r="C11" s="652" t="s">
        <v>464</v>
      </c>
      <c r="D11" s="653" t="s">
        <v>464</v>
      </c>
      <c r="E11" s="1020" t="s">
        <v>464</v>
      </c>
      <c r="F11" s="652" t="s">
        <v>464</v>
      </c>
      <c r="G11" s="1021" t="s">
        <v>464</v>
      </c>
      <c r="H11" s="1020" t="s">
        <v>464</v>
      </c>
      <c r="I11" s="652" t="s">
        <v>464</v>
      </c>
      <c r="J11" s="1021" t="s">
        <v>464</v>
      </c>
      <c r="K11" s="654" t="s">
        <v>585</v>
      </c>
    </row>
    <row r="12" spans="1:11" ht="18" customHeight="1">
      <c r="A12" s="650"/>
      <c r="B12" s="655"/>
      <c r="C12" s="641"/>
      <c r="D12" s="656"/>
      <c r="E12" s="1022"/>
      <c r="F12" s="641"/>
      <c r="G12" s="1023"/>
      <c r="H12" s="655"/>
      <c r="I12" s="641"/>
      <c r="J12" s="656"/>
      <c r="K12" s="654"/>
    </row>
    <row r="13" spans="1:11" ht="18" customHeight="1">
      <c r="A13" s="657" t="s">
        <v>588</v>
      </c>
      <c r="B13" s="658">
        <f>SUM(B14:B18)</f>
        <v>53</v>
      </c>
      <c r="C13" s="659">
        <f>(D13*1000)/B13</f>
        <v>1245.2830188679245</v>
      </c>
      <c r="D13" s="1024">
        <f>SUM(D14:D18)</f>
        <v>66</v>
      </c>
      <c r="E13" s="1042">
        <f>SUM(E14:E18)</f>
        <v>15</v>
      </c>
      <c r="F13" s="659">
        <f>(G13*1000)/E13</f>
        <v>1447.3333333333333</v>
      </c>
      <c r="G13" s="998">
        <f>SUM(G14:G18)</f>
        <v>21.71</v>
      </c>
      <c r="H13" s="658">
        <f>SUM(H14:H18)</f>
        <v>38</v>
      </c>
      <c r="I13" s="659">
        <f>(J13*1000)/H13</f>
        <v>6421.0526315789475</v>
      </c>
      <c r="J13" s="660">
        <f>SUM(J14:J18)</f>
        <v>244</v>
      </c>
      <c r="K13" s="661" t="s">
        <v>589</v>
      </c>
    </row>
    <row r="14" spans="1:11" ht="18" customHeight="1">
      <c r="A14" s="650" t="s">
        <v>590</v>
      </c>
      <c r="B14" s="679">
        <v>25</v>
      </c>
      <c r="C14" s="641">
        <f>(D14*1000)/B14</f>
        <v>1120</v>
      </c>
      <c r="D14" s="1845">
        <v>28</v>
      </c>
      <c r="E14" s="1842" t="s">
        <v>464</v>
      </c>
      <c r="F14" s="677" t="s">
        <v>464</v>
      </c>
      <c r="G14" s="994" t="s">
        <v>464</v>
      </c>
      <c r="H14" s="1025">
        <v>35</v>
      </c>
      <c r="I14" s="641">
        <f>(J14*1000)/H14</f>
        <v>6428.571428571428</v>
      </c>
      <c r="J14" s="1049">
        <v>225</v>
      </c>
      <c r="K14" s="654" t="s">
        <v>591</v>
      </c>
    </row>
    <row r="15" spans="1:11" s="328" customFormat="1" ht="18" customHeight="1">
      <c r="A15" s="650" t="s">
        <v>592</v>
      </c>
      <c r="B15" s="679" t="s">
        <v>464</v>
      </c>
      <c r="C15" s="677" t="s">
        <v>464</v>
      </c>
      <c r="D15" s="680" t="s">
        <v>464</v>
      </c>
      <c r="E15" s="1842">
        <v>1</v>
      </c>
      <c r="F15" s="641">
        <f>(G15*1000)/E15</f>
        <v>1420</v>
      </c>
      <c r="G15" s="994">
        <v>1.42</v>
      </c>
      <c r="H15" s="679">
        <v>3</v>
      </c>
      <c r="I15" s="641">
        <f>(J15*1000)/H15</f>
        <v>6333.333333333333</v>
      </c>
      <c r="J15" s="680">
        <v>19</v>
      </c>
      <c r="K15" s="654" t="s">
        <v>593</v>
      </c>
    </row>
    <row r="16" spans="1:11" ht="18" customHeight="1">
      <c r="A16" s="650" t="s">
        <v>594</v>
      </c>
      <c r="B16" s="655">
        <v>6</v>
      </c>
      <c r="C16" s="641">
        <f>(D16*1000)/B16</f>
        <v>1166.6666666666667</v>
      </c>
      <c r="D16" s="656">
        <v>7</v>
      </c>
      <c r="E16" s="1842">
        <v>4</v>
      </c>
      <c r="F16" s="641">
        <f>(G16*1000)/E16</f>
        <v>1422.5</v>
      </c>
      <c r="G16" s="994">
        <v>5.69</v>
      </c>
      <c r="H16" s="1020" t="s">
        <v>464</v>
      </c>
      <c r="I16" s="652" t="s">
        <v>464</v>
      </c>
      <c r="J16" s="1021" t="s">
        <v>464</v>
      </c>
      <c r="K16" s="654" t="s">
        <v>594</v>
      </c>
    </row>
    <row r="17" spans="1:11" ht="18" customHeight="1">
      <c r="A17" s="650" t="s">
        <v>599</v>
      </c>
      <c r="B17" s="679">
        <v>18</v>
      </c>
      <c r="C17" s="641">
        <f>(D17*1000)/B17</f>
        <v>1444.4444444444443</v>
      </c>
      <c r="D17" s="680">
        <v>26</v>
      </c>
      <c r="E17" s="1842" t="s">
        <v>464</v>
      </c>
      <c r="F17" s="677" t="s">
        <v>464</v>
      </c>
      <c r="G17" s="994" t="s">
        <v>464</v>
      </c>
      <c r="H17" s="1020" t="s">
        <v>464</v>
      </c>
      <c r="I17" s="652" t="s">
        <v>464</v>
      </c>
      <c r="J17" s="1021" t="s">
        <v>464</v>
      </c>
      <c r="K17" s="654" t="s">
        <v>599</v>
      </c>
    </row>
    <row r="18" spans="1:11" ht="18" customHeight="1">
      <c r="A18" s="650" t="s">
        <v>598</v>
      </c>
      <c r="B18" s="679">
        <v>4</v>
      </c>
      <c r="C18" s="641">
        <f>(D18*1000)/B18</f>
        <v>1250</v>
      </c>
      <c r="D18" s="1848">
        <v>5</v>
      </c>
      <c r="E18" s="1035">
        <v>10</v>
      </c>
      <c r="F18" s="641">
        <f>(G18*1000)/E18</f>
        <v>1460</v>
      </c>
      <c r="G18" s="996">
        <v>14.6</v>
      </c>
      <c r="H18" s="1020" t="s">
        <v>464</v>
      </c>
      <c r="I18" s="652" t="s">
        <v>464</v>
      </c>
      <c r="J18" s="1021" t="s">
        <v>464</v>
      </c>
      <c r="K18" s="654" t="s">
        <v>598</v>
      </c>
    </row>
    <row r="19" spans="1:11" ht="18" customHeight="1">
      <c r="A19" s="662"/>
      <c r="B19" s="663"/>
      <c r="C19" s="664"/>
      <c r="D19" s="665"/>
      <c r="E19" s="1022"/>
      <c r="F19" s="664"/>
      <c r="G19" s="1026"/>
      <c r="H19" s="663"/>
      <c r="I19" s="664"/>
      <c r="J19" s="665"/>
      <c r="K19" s="654"/>
    </row>
    <row r="20" spans="1:11" ht="18" customHeight="1">
      <c r="A20" s="657" t="s">
        <v>601</v>
      </c>
      <c r="B20" s="651">
        <f>SUM(B21:B24)</f>
        <v>1</v>
      </c>
      <c r="C20" s="659">
        <f>(D20*1000)/B20</f>
        <v>2000</v>
      </c>
      <c r="D20" s="653">
        <f>SUM(D21:D24)</f>
        <v>2</v>
      </c>
      <c r="E20" s="1042">
        <f>SUM(E21:E24)</f>
        <v>12</v>
      </c>
      <c r="F20" s="659">
        <f>(G20*1000)/E20</f>
        <v>1333.3333333333333</v>
      </c>
      <c r="G20" s="1872">
        <f>SUM(G21:G24)</f>
        <v>16</v>
      </c>
      <c r="H20" s="658">
        <f>SUM(H21:H24)</f>
        <v>4</v>
      </c>
      <c r="I20" s="659">
        <f>(J20*1000)/H20</f>
        <v>6250</v>
      </c>
      <c r="J20" s="660">
        <f>SUM(J21:J24)</f>
        <v>25</v>
      </c>
      <c r="K20" s="661" t="s">
        <v>602</v>
      </c>
    </row>
    <row r="21" spans="1:11" ht="18" customHeight="1">
      <c r="A21" s="650" t="s">
        <v>603</v>
      </c>
      <c r="B21" s="679" t="s">
        <v>464</v>
      </c>
      <c r="C21" s="677" t="s">
        <v>464</v>
      </c>
      <c r="D21" s="680" t="s">
        <v>464</v>
      </c>
      <c r="E21" s="1045" t="s">
        <v>464</v>
      </c>
      <c r="F21" s="652" t="s">
        <v>464</v>
      </c>
      <c r="G21" s="1021" t="s">
        <v>464</v>
      </c>
      <c r="H21" s="1020" t="s">
        <v>464</v>
      </c>
      <c r="I21" s="652" t="s">
        <v>464</v>
      </c>
      <c r="J21" s="1021" t="s">
        <v>464</v>
      </c>
      <c r="K21" s="654" t="s">
        <v>604</v>
      </c>
    </row>
    <row r="22" spans="1:11" ht="18" customHeight="1">
      <c r="A22" s="650" t="s">
        <v>605</v>
      </c>
      <c r="B22" s="679">
        <v>1</v>
      </c>
      <c r="C22" s="641">
        <f>(D22*1000)/B22</f>
        <v>2000</v>
      </c>
      <c r="D22" s="680">
        <v>2</v>
      </c>
      <c r="E22" s="1842">
        <v>3</v>
      </c>
      <c r="F22" s="641">
        <f>(G22*1000)/E22</f>
        <v>1666.6666666666667</v>
      </c>
      <c r="G22" s="1846">
        <v>5</v>
      </c>
      <c r="H22" s="1020" t="s">
        <v>464</v>
      </c>
      <c r="I22" s="652" t="s">
        <v>464</v>
      </c>
      <c r="J22" s="1021" t="s">
        <v>464</v>
      </c>
      <c r="K22" s="654" t="s">
        <v>606</v>
      </c>
    </row>
    <row r="23" spans="1:11" ht="18" customHeight="1">
      <c r="A23" s="650" t="s">
        <v>607</v>
      </c>
      <c r="B23" s="651" t="s">
        <v>464</v>
      </c>
      <c r="C23" s="652" t="s">
        <v>464</v>
      </c>
      <c r="D23" s="653" t="s">
        <v>464</v>
      </c>
      <c r="E23" s="1842" t="s">
        <v>464</v>
      </c>
      <c r="F23" s="677" t="s">
        <v>464</v>
      </c>
      <c r="G23" s="680" t="s">
        <v>464</v>
      </c>
      <c r="H23" s="1020" t="s">
        <v>464</v>
      </c>
      <c r="I23" s="652" t="s">
        <v>464</v>
      </c>
      <c r="J23" s="1021" t="s">
        <v>464</v>
      </c>
      <c r="K23" s="654" t="s">
        <v>607</v>
      </c>
    </row>
    <row r="24" spans="1:11" ht="18" customHeight="1">
      <c r="A24" s="650" t="s">
        <v>608</v>
      </c>
      <c r="B24" s="651" t="s">
        <v>464</v>
      </c>
      <c r="C24" s="652" t="s">
        <v>464</v>
      </c>
      <c r="D24" s="653" t="s">
        <v>464</v>
      </c>
      <c r="E24" s="1035">
        <v>9</v>
      </c>
      <c r="F24" s="641">
        <f>(G24*1000)/E24</f>
        <v>1222.2222222222222</v>
      </c>
      <c r="G24" s="1864">
        <v>11</v>
      </c>
      <c r="H24" s="655">
        <v>4</v>
      </c>
      <c r="I24" s="641">
        <f>(J24*1000)/H24</f>
        <v>6250</v>
      </c>
      <c r="J24" s="656">
        <v>25</v>
      </c>
      <c r="K24" s="654" t="s">
        <v>608</v>
      </c>
    </row>
    <row r="25" spans="1:11" s="328" customFormat="1" ht="18" customHeight="1">
      <c r="A25" s="666"/>
      <c r="B25" s="667"/>
      <c r="C25" s="668"/>
      <c r="D25" s="669"/>
      <c r="E25" s="1042"/>
      <c r="F25" s="668"/>
      <c r="G25" s="1027"/>
      <c r="H25" s="667"/>
      <c r="I25" s="668"/>
      <c r="J25" s="669"/>
      <c r="K25" s="670"/>
    </row>
    <row r="26" spans="1:11" ht="19.5" customHeight="1">
      <c r="A26" s="666" t="s">
        <v>1286</v>
      </c>
      <c r="B26" s="667">
        <f>SUM(B27:B28)</f>
        <v>70</v>
      </c>
      <c r="C26" s="659">
        <f>(D26*1000)/B26</f>
        <v>1700</v>
      </c>
      <c r="D26" s="669">
        <f>SUM(D27:D28)</f>
        <v>119</v>
      </c>
      <c r="E26" s="2797">
        <f>SUM(E27:E28)</f>
        <v>36</v>
      </c>
      <c r="F26" s="980">
        <f>(G26*1000)/E26</f>
        <v>1452.7777777777778</v>
      </c>
      <c r="G26" s="2798">
        <f>SUM(G27:G28)</f>
        <v>52.3</v>
      </c>
      <c r="H26" s="667">
        <f>SUM(H27:H28)</f>
        <v>37</v>
      </c>
      <c r="I26" s="659">
        <f>(J26*1000)/H26</f>
        <v>4364.864864864865</v>
      </c>
      <c r="J26" s="669">
        <f>SUM(J27:J28)</f>
        <v>161.5</v>
      </c>
      <c r="K26" s="661" t="s">
        <v>1286</v>
      </c>
    </row>
    <row r="27" spans="1:11" ht="18" customHeight="1">
      <c r="A27" s="662" t="s">
        <v>586</v>
      </c>
      <c r="B27" s="663">
        <v>33</v>
      </c>
      <c r="C27" s="641">
        <f>(D27*1000)/B27</f>
        <v>1636.3636363636363</v>
      </c>
      <c r="D27" s="665">
        <v>54</v>
      </c>
      <c r="E27" s="2244">
        <v>15</v>
      </c>
      <c r="F27" s="976">
        <f>(G27*1000)/E27</f>
        <v>1420</v>
      </c>
      <c r="G27" s="2799">
        <v>21.3</v>
      </c>
      <c r="H27" s="663">
        <v>11</v>
      </c>
      <c r="I27" s="641">
        <f>(J27*1000)/H27</f>
        <v>4227.272727272727</v>
      </c>
      <c r="J27" s="665">
        <v>46.5</v>
      </c>
      <c r="K27" s="654" t="s">
        <v>586</v>
      </c>
    </row>
    <row r="28" spans="1:11" ht="18" customHeight="1">
      <c r="A28" s="662" t="s">
        <v>587</v>
      </c>
      <c r="B28" s="663">
        <v>37</v>
      </c>
      <c r="C28" s="641">
        <f>(D28*1000)/B28</f>
        <v>1756.7567567567567</v>
      </c>
      <c r="D28" s="665">
        <v>65</v>
      </c>
      <c r="E28" s="2244">
        <v>21</v>
      </c>
      <c r="F28" s="976">
        <f>(G28*1000)/E28</f>
        <v>1476.1904761904761</v>
      </c>
      <c r="G28" s="2433">
        <v>31</v>
      </c>
      <c r="H28" s="663">
        <v>26</v>
      </c>
      <c r="I28" s="641">
        <f>(J28*1000)/H28</f>
        <v>4423.076923076923</v>
      </c>
      <c r="J28" s="665">
        <v>115</v>
      </c>
      <c r="K28" s="654" t="s">
        <v>587</v>
      </c>
    </row>
    <row r="29" spans="1:11" ht="18" customHeight="1">
      <c r="A29" s="662"/>
      <c r="B29" s="663"/>
      <c r="C29" s="664"/>
      <c r="D29" s="665"/>
      <c r="E29" s="1035"/>
      <c r="F29" s="664"/>
      <c r="G29" s="1026"/>
      <c r="H29" s="663"/>
      <c r="I29" s="664"/>
      <c r="J29" s="665"/>
      <c r="K29" s="654"/>
    </row>
    <row r="30" spans="1:11" ht="21.75" customHeight="1">
      <c r="A30" s="666" t="s">
        <v>1287</v>
      </c>
      <c r="B30" s="667">
        <f>SUM(B31:B33)</f>
        <v>2</v>
      </c>
      <c r="C30" s="659">
        <f>(D30*1000)/B30</f>
        <v>1500</v>
      </c>
      <c r="D30" s="669">
        <f>SUM(D31:D33)</f>
        <v>3</v>
      </c>
      <c r="E30" s="1042">
        <f>SUM(E31:E33)</f>
        <v>1</v>
      </c>
      <c r="F30" s="659">
        <f>(G30*1000)/E30</f>
        <v>1420</v>
      </c>
      <c r="G30" s="1027">
        <f>SUM(G31:G33)</f>
        <v>1.42</v>
      </c>
      <c r="H30" s="667">
        <f>SUM(H31:H33)</f>
        <v>7</v>
      </c>
      <c r="I30" s="659">
        <f>(J30*1000)/H30</f>
        <v>4500</v>
      </c>
      <c r="J30" s="669">
        <f>SUM(J31:J33)</f>
        <v>31.5</v>
      </c>
      <c r="K30" s="661" t="s">
        <v>1287</v>
      </c>
    </row>
    <row r="31" spans="1:11" ht="18" customHeight="1">
      <c r="A31" s="662" t="s">
        <v>1273</v>
      </c>
      <c r="B31" s="651" t="s">
        <v>464</v>
      </c>
      <c r="C31" s="652" t="s">
        <v>464</v>
      </c>
      <c r="D31" s="653" t="s">
        <v>464</v>
      </c>
      <c r="E31" s="1035">
        <v>1</v>
      </c>
      <c r="F31" s="641">
        <f>(G31*1000)/E31</f>
        <v>1420</v>
      </c>
      <c r="G31" s="1026">
        <v>1.42</v>
      </c>
      <c r="H31" s="679">
        <v>1</v>
      </c>
      <c r="I31" s="641">
        <f>(J31*1000)/H31</f>
        <v>5500</v>
      </c>
      <c r="J31" s="994">
        <v>5.5</v>
      </c>
      <c r="K31" s="654" t="s">
        <v>1273</v>
      </c>
    </row>
    <row r="32" spans="1:11" ht="18" customHeight="1">
      <c r="A32" s="662" t="s">
        <v>596</v>
      </c>
      <c r="B32" s="663">
        <v>2</v>
      </c>
      <c r="C32" s="641">
        <f>(D32*1000)/B32</f>
        <v>1500</v>
      </c>
      <c r="D32" s="665">
        <v>3</v>
      </c>
      <c r="E32" s="1842" t="s">
        <v>464</v>
      </c>
      <c r="F32" s="677" t="s">
        <v>464</v>
      </c>
      <c r="G32" s="994" t="s">
        <v>464</v>
      </c>
      <c r="H32" s="1844" t="s">
        <v>464</v>
      </c>
      <c r="I32" s="677" t="s">
        <v>464</v>
      </c>
      <c r="J32" s="994" t="s">
        <v>464</v>
      </c>
      <c r="K32" s="654" t="s">
        <v>596</v>
      </c>
    </row>
    <row r="33" spans="1:11" ht="18" customHeight="1" thickBot="1">
      <c r="A33" s="671" t="s">
        <v>595</v>
      </c>
      <c r="B33" s="685" t="s">
        <v>464</v>
      </c>
      <c r="C33" s="686" t="s">
        <v>464</v>
      </c>
      <c r="D33" s="687" t="s">
        <v>464</v>
      </c>
      <c r="E33" s="1028" t="s">
        <v>464</v>
      </c>
      <c r="F33" s="686" t="s">
        <v>464</v>
      </c>
      <c r="G33" s="1029" t="s">
        <v>464</v>
      </c>
      <c r="H33" s="672">
        <v>6</v>
      </c>
      <c r="I33" s="344">
        <f>(J33*1000)/H33</f>
        <v>4333.333333333333</v>
      </c>
      <c r="J33" s="2759">
        <v>26</v>
      </c>
      <c r="K33" s="674" t="s">
        <v>595</v>
      </c>
    </row>
    <row r="34" spans="1:11" ht="20.25">
      <c r="A34" s="108"/>
      <c r="B34" s="159"/>
      <c r="C34" s="159"/>
      <c r="D34" s="159"/>
      <c r="E34" s="159"/>
      <c r="F34" s="159"/>
      <c r="G34" s="159"/>
      <c r="H34" s="159"/>
      <c r="I34" s="159"/>
      <c r="J34" s="159"/>
      <c r="K34" s="1007"/>
    </row>
    <row r="35" spans="1:11" ht="21" thickBot="1">
      <c r="A35" s="108"/>
      <c r="B35" s="159"/>
      <c r="C35" s="159"/>
      <c r="D35" s="159"/>
      <c r="E35" s="159"/>
      <c r="F35" s="159"/>
      <c r="G35" s="159"/>
      <c r="H35" s="159"/>
      <c r="I35" s="159"/>
      <c r="J35" s="159"/>
      <c r="K35" s="1007"/>
    </row>
    <row r="36" spans="1:11" ht="19.5" customHeight="1" thickBot="1">
      <c r="A36" s="1008"/>
      <c r="B36" s="2874" t="s">
        <v>1293</v>
      </c>
      <c r="C36" s="2875"/>
      <c r="D36" s="2876"/>
      <c r="E36" s="2874" t="s">
        <v>1611</v>
      </c>
      <c r="F36" s="2875"/>
      <c r="G36" s="2876"/>
      <c r="H36" s="1030"/>
      <c r="I36" s="637"/>
      <c r="J36" s="637"/>
      <c r="K36" s="1009"/>
    </row>
    <row r="37" spans="1:11" ht="20.25">
      <c r="A37" s="1010" t="s">
        <v>566</v>
      </c>
      <c r="B37" s="536" t="s">
        <v>567</v>
      </c>
      <c r="C37" s="536" t="s">
        <v>568</v>
      </c>
      <c r="D37" s="536" t="s">
        <v>569</v>
      </c>
      <c r="E37" s="536" t="s">
        <v>567</v>
      </c>
      <c r="F37" s="536" t="s">
        <v>568</v>
      </c>
      <c r="G37" s="536" t="s">
        <v>569</v>
      </c>
      <c r="H37" s="536" t="s">
        <v>567</v>
      </c>
      <c r="I37" s="536" t="s">
        <v>568</v>
      </c>
      <c r="J37" s="536" t="s">
        <v>569</v>
      </c>
      <c r="K37" s="1011" t="s">
        <v>570</v>
      </c>
    </row>
    <row r="38" spans="1:11" s="575" customFormat="1" ht="20.25">
      <c r="A38" s="1012" t="s">
        <v>571</v>
      </c>
      <c r="B38" s="639" t="s">
        <v>572</v>
      </c>
      <c r="C38" s="639" t="s">
        <v>573</v>
      </c>
      <c r="D38" s="639" t="s">
        <v>574</v>
      </c>
      <c r="E38" s="639" t="s">
        <v>572</v>
      </c>
      <c r="F38" s="639" t="s">
        <v>573</v>
      </c>
      <c r="G38" s="639" t="s">
        <v>574</v>
      </c>
      <c r="H38" s="639" t="s">
        <v>572</v>
      </c>
      <c r="I38" s="639" t="s">
        <v>573</v>
      </c>
      <c r="J38" s="639" t="s">
        <v>574</v>
      </c>
      <c r="K38" s="1012" t="s">
        <v>575</v>
      </c>
    </row>
    <row r="39" spans="1:11" ht="21" thickBot="1">
      <c r="A39" s="1013"/>
      <c r="B39" s="535" t="s">
        <v>444</v>
      </c>
      <c r="C39" s="535" t="s">
        <v>576</v>
      </c>
      <c r="D39" s="535" t="s">
        <v>577</v>
      </c>
      <c r="E39" s="535" t="s">
        <v>444</v>
      </c>
      <c r="F39" s="535" t="s">
        <v>576</v>
      </c>
      <c r="G39" s="535" t="s">
        <v>577</v>
      </c>
      <c r="H39" s="1031" t="s">
        <v>444</v>
      </c>
      <c r="I39" s="1031" t="s">
        <v>576</v>
      </c>
      <c r="J39" s="1031" t="s">
        <v>577</v>
      </c>
      <c r="K39" s="1014"/>
    </row>
    <row r="40" spans="1:11" s="328" customFormat="1" ht="21" thickBot="1">
      <c r="A40" s="675" t="s">
        <v>578</v>
      </c>
      <c r="B40" s="2586">
        <f>SUM(B46+B53+B59+B63)</f>
        <v>514.5</v>
      </c>
      <c r="C40" s="678">
        <f>(D40*1000)/B40</f>
        <v>2243.1486880466473</v>
      </c>
      <c r="D40" s="1215">
        <f>SUM(D46+D53+D59+D63)</f>
        <v>1154.1</v>
      </c>
      <c r="E40" s="1863">
        <f>SUM(E46+E59+E63+E53)</f>
        <v>80</v>
      </c>
      <c r="F40" s="678">
        <f>(G40*1000)/E40</f>
        <v>2518.5</v>
      </c>
      <c r="G40" s="2442">
        <f>SUM(G46+G59+G63+G53)</f>
        <v>201.48</v>
      </c>
      <c r="H40" s="1033" t="s">
        <v>464</v>
      </c>
      <c r="I40" s="681" t="s">
        <v>464</v>
      </c>
      <c r="J40" s="1034" t="s">
        <v>464</v>
      </c>
      <c r="K40" s="645" t="s">
        <v>579</v>
      </c>
    </row>
    <row r="41" spans="1:11" s="328" customFormat="1" ht="20.25">
      <c r="A41" s="646" t="s">
        <v>580</v>
      </c>
      <c r="B41" s="682" t="s">
        <v>464</v>
      </c>
      <c r="C41" s="683" t="s">
        <v>464</v>
      </c>
      <c r="D41" s="683" t="s">
        <v>464</v>
      </c>
      <c r="E41" s="682" t="s">
        <v>464</v>
      </c>
      <c r="F41" s="683" t="s">
        <v>464</v>
      </c>
      <c r="G41" s="684" t="s">
        <v>464</v>
      </c>
      <c r="H41" s="1901" t="s">
        <v>464</v>
      </c>
      <c r="I41" s="683" t="s">
        <v>464</v>
      </c>
      <c r="J41" s="1019" t="s">
        <v>464</v>
      </c>
      <c r="K41" s="649" t="s">
        <v>581</v>
      </c>
    </row>
    <row r="42" spans="1:11" ht="18" customHeight="1">
      <c r="A42" s="650" t="s">
        <v>582</v>
      </c>
      <c r="B42" s="651" t="s">
        <v>464</v>
      </c>
      <c r="C42" s="652" t="s">
        <v>464</v>
      </c>
      <c r="D42" s="652" t="s">
        <v>464</v>
      </c>
      <c r="E42" s="651" t="s">
        <v>464</v>
      </c>
      <c r="F42" s="652" t="s">
        <v>464</v>
      </c>
      <c r="G42" s="653" t="s">
        <v>464</v>
      </c>
      <c r="H42" s="1891" t="s">
        <v>464</v>
      </c>
      <c r="I42" s="652" t="s">
        <v>464</v>
      </c>
      <c r="J42" s="1021" t="s">
        <v>464</v>
      </c>
      <c r="K42" s="654" t="s">
        <v>583</v>
      </c>
    </row>
    <row r="43" spans="1:11" ht="18" customHeight="1">
      <c r="A43" s="650" t="s">
        <v>584</v>
      </c>
      <c r="B43" s="651" t="s">
        <v>464</v>
      </c>
      <c r="C43" s="652" t="s">
        <v>464</v>
      </c>
      <c r="D43" s="652" t="s">
        <v>464</v>
      </c>
      <c r="E43" s="651" t="s">
        <v>464</v>
      </c>
      <c r="F43" s="652" t="s">
        <v>464</v>
      </c>
      <c r="G43" s="653" t="s">
        <v>464</v>
      </c>
      <c r="H43" s="1891" t="s">
        <v>464</v>
      </c>
      <c r="I43" s="652" t="s">
        <v>464</v>
      </c>
      <c r="J43" s="1021" t="s">
        <v>464</v>
      </c>
      <c r="K43" s="654" t="s">
        <v>584</v>
      </c>
    </row>
    <row r="44" spans="1:11" ht="18" customHeight="1">
      <c r="A44" s="650" t="s">
        <v>585</v>
      </c>
      <c r="B44" s="651" t="s">
        <v>464</v>
      </c>
      <c r="C44" s="652" t="s">
        <v>464</v>
      </c>
      <c r="D44" s="652" t="s">
        <v>464</v>
      </c>
      <c r="E44" s="651" t="s">
        <v>464</v>
      </c>
      <c r="F44" s="652" t="s">
        <v>464</v>
      </c>
      <c r="G44" s="653" t="s">
        <v>464</v>
      </c>
      <c r="H44" s="1891" t="s">
        <v>464</v>
      </c>
      <c r="I44" s="652" t="s">
        <v>464</v>
      </c>
      <c r="J44" s="1021" t="s">
        <v>464</v>
      </c>
      <c r="K44" s="654" t="s">
        <v>585</v>
      </c>
    </row>
    <row r="45" spans="1:11" ht="18" customHeight="1">
      <c r="A45" s="650"/>
      <c r="B45" s="655"/>
      <c r="C45" s="641"/>
      <c r="D45" s="641"/>
      <c r="E45" s="995"/>
      <c r="F45" s="641"/>
      <c r="G45" s="1023"/>
      <c r="H45" s="640"/>
      <c r="I45" s="641"/>
      <c r="J45" s="656"/>
      <c r="K45" s="654"/>
    </row>
    <row r="46" spans="1:11" ht="18" customHeight="1">
      <c r="A46" s="657" t="s">
        <v>588</v>
      </c>
      <c r="B46" s="658">
        <f>SUM(B47:B51)</f>
        <v>105</v>
      </c>
      <c r="C46" s="659">
        <f aca="true" t="shared" si="0" ref="C46:C51">(D46*1000)/B46</f>
        <v>2480.9523809523807</v>
      </c>
      <c r="D46" s="2208">
        <f>SUM(D47:D51)</f>
        <v>260.5</v>
      </c>
      <c r="E46" s="1042">
        <f>SUM(E47:E51)</f>
        <v>48</v>
      </c>
      <c r="F46" s="659">
        <f>(G46*1000)/E46</f>
        <v>2664.1666666666665</v>
      </c>
      <c r="G46" s="998">
        <f>SUM(G47:G51)</f>
        <v>127.88</v>
      </c>
      <c r="H46" s="1891" t="s">
        <v>464</v>
      </c>
      <c r="I46" s="652" t="s">
        <v>464</v>
      </c>
      <c r="J46" s="1021" t="s">
        <v>464</v>
      </c>
      <c r="K46" s="661" t="s">
        <v>589</v>
      </c>
    </row>
    <row r="47" spans="1:11" ht="18" customHeight="1">
      <c r="A47" s="650" t="s">
        <v>590</v>
      </c>
      <c r="B47" s="655">
        <v>39</v>
      </c>
      <c r="C47" s="641">
        <f t="shared" si="0"/>
        <v>2666.6666666666665</v>
      </c>
      <c r="D47" s="677">
        <v>104</v>
      </c>
      <c r="E47" s="1842">
        <v>10</v>
      </c>
      <c r="F47" s="641">
        <f>(G47*1000)/E47</f>
        <v>2660</v>
      </c>
      <c r="G47" s="994">
        <v>26.6</v>
      </c>
      <c r="H47" s="1891" t="s">
        <v>464</v>
      </c>
      <c r="I47" s="652" t="s">
        <v>464</v>
      </c>
      <c r="J47" s="1021" t="s">
        <v>464</v>
      </c>
      <c r="K47" s="654" t="s">
        <v>591</v>
      </c>
    </row>
    <row r="48" spans="1:11" s="328" customFormat="1" ht="18" customHeight="1">
      <c r="A48" s="650" t="s">
        <v>592</v>
      </c>
      <c r="B48" s="679">
        <v>4</v>
      </c>
      <c r="C48" s="641">
        <f t="shared" si="0"/>
        <v>2750</v>
      </c>
      <c r="D48" s="677">
        <v>11</v>
      </c>
      <c r="E48" s="1045" t="s">
        <v>464</v>
      </c>
      <c r="F48" s="652" t="s">
        <v>464</v>
      </c>
      <c r="G48" s="653" t="s">
        <v>464</v>
      </c>
      <c r="H48" s="1891" t="s">
        <v>464</v>
      </c>
      <c r="I48" s="652" t="s">
        <v>464</v>
      </c>
      <c r="J48" s="1021" t="s">
        <v>464</v>
      </c>
      <c r="K48" s="654" t="s">
        <v>593</v>
      </c>
    </row>
    <row r="49" spans="1:11" ht="18" customHeight="1">
      <c r="A49" s="650" t="s">
        <v>594</v>
      </c>
      <c r="B49" s="655">
        <v>26</v>
      </c>
      <c r="C49" s="641">
        <f t="shared" si="0"/>
        <v>2615.3846153846152</v>
      </c>
      <c r="D49" s="641">
        <v>68</v>
      </c>
      <c r="E49" s="1035">
        <v>38</v>
      </c>
      <c r="F49" s="641">
        <f>(G49*1000)/E49</f>
        <v>2665.2631578947367</v>
      </c>
      <c r="G49" s="996">
        <v>101.28</v>
      </c>
      <c r="H49" s="1891" t="s">
        <v>464</v>
      </c>
      <c r="I49" s="652" t="s">
        <v>464</v>
      </c>
      <c r="J49" s="1021" t="s">
        <v>464</v>
      </c>
      <c r="K49" s="654" t="s">
        <v>594</v>
      </c>
    </row>
    <row r="50" spans="1:11" ht="18" customHeight="1">
      <c r="A50" s="650" t="s">
        <v>599</v>
      </c>
      <c r="B50" s="1025">
        <v>34</v>
      </c>
      <c r="C50" s="641">
        <f t="shared" si="0"/>
        <v>2147.0588235294117</v>
      </c>
      <c r="D50" s="976">
        <v>73</v>
      </c>
      <c r="E50" s="1045" t="s">
        <v>464</v>
      </c>
      <c r="F50" s="652" t="s">
        <v>464</v>
      </c>
      <c r="G50" s="653" t="s">
        <v>464</v>
      </c>
      <c r="H50" s="1891" t="s">
        <v>464</v>
      </c>
      <c r="I50" s="652" t="s">
        <v>464</v>
      </c>
      <c r="J50" s="1021" t="s">
        <v>464</v>
      </c>
      <c r="K50" s="654" t="s">
        <v>599</v>
      </c>
    </row>
    <row r="51" spans="1:11" ht="18" customHeight="1">
      <c r="A51" s="650" t="s">
        <v>598</v>
      </c>
      <c r="B51" s="723">
        <v>2</v>
      </c>
      <c r="C51" s="641">
        <f t="shared" si="0"/>
        <v>2250</v>
      </c>
      <c r="D51" s="2760">
        <v>4.5</v>
      </c>
      <c r="E51" s="1045" t="s">
        <v>464</v>
      </c>
      <c r="F51" s="652" t="s">
        <v>464</v>
      </c>
      <c r="G51" s="653" t="s">
        <v>464</v>
      </c>
      <c r="H51" s="1891" t="s">
        <v>464</v>
      </c>
      <c r="I51" s="652" t="s">
        <v>464</v>
      </c>
      <c r="J51" s="1021" t="s">
        <v>464</v>
      </c>
      <c r="K51" s="654" t="s">
        <v>598</v>
      </c>
    </row>
    <row r="52" spans="1:11" ht="18" customHeight="1">
      <c r="A52" s="662"/>
      <c r="B52" s="724"/>
      <c r="C52" s="1038"/>
      <c r="D52" s="1900"/>
      <c r="E52" s="995"/>
      <c r="F52" s="664"/>
      <c r="G52" s="1026"/>
      <c r="H52" s="983"/>
      <c r="I52" s="664"/>
      <c r="J52" s="665"/>
      <c r="K52" s="654"/>
    </row>
    <row r="53" spans="1:11" ht="18" customHeight="1">
      <c r="A53" s="657" t="s">
        <v>601</v>
      </c>
      <c r="B53" s="1039">
        <f>SUM(B54:B57)</f>
        <v>94</v>
      </c>
      <c r="C53" s="980">
        <f>(D53*1000)/B53</f>
        <v>2414.8936170212764</v>
      </c>
      <c r="D53" s="980">
        <f>SUM(D54:D57)</f>
        <v>227</v>
      </c>
      <c r="E53" s="1045">
        <f>SUM(E54:E57)</f>
        <v>6</v>
      </c>
      <c r="F53" s="659">
        <f>(G53*1000)/E53</f>
        <v>2933.3333333333335</v>
      </c>
      <c r="G53" s="993">
        <f>SUM(G54:G57)</f>
        <v>17.6</v>
      </c>
      <c r="H53" s="1891" t="s">
        <v>464</v>
      </c>
      <c r="I53" s="652" t="s">
        <v>464</v>
      </c>
      <c r="J53" s="1021" t="s">
        <v>464</v>
      </c>
      <c r="K53" s="661" t="s">
        <v>602</v>
      </c>
    </row>
    <row r="54" spans="1:11" ht="18" customHeight="1">
      <c r="A54" s="650" t="s">
        <v>603</v>
      </c>
      <c r="B54" s="1842">
        <v>20</v>
      </c>
      <c r="C54" s="982">
        <f>(D54*1000)/B54</f>
        <v>2900</v>
      </c>
      <c r="D54" s="2413">
        <v>58</v>
      </c>
      <c r="E54" s="1842">
        <v>2</v>
      </c>
      <c r="F54" s="641">
        <f>(G54*1000)/E54</f>
        <v>3300</v>
      </c>
      <c r="G54" s="994">
        <v>6.6</v>
      </c>
      <c r="H54" s="1891" t="s">
        <v>464</v>
      </c>
      <c r="I54" s="652" t="s">
        <v>464</v>
      </c>
      <c r="J54" s="1021" t="s">
        <v>464</v>
      </c>
      <c r="K54" s="654" t="s">
        <v>604</v>
      </c>
    </row>
    <row r="55" spans="1:11" ht="18" customHeight="1">
      <c r="A55" s="650" t="s">
        <v>605</v>
      </c>
      <c r="B55" s="1842">
        <v>8</v>
      </c>
      <c r="C55" s="982">
        <f>(D55*1000)/B55</f>
        <v>2250</v>
      </c>
      <c r="D55" s="2413">
        <v>18</v>
      </c>
      <c r="E55" s="1842" t="s">
        <v>464</v>
      </c>
      <c r="F55" s="677" t="s">
        <v>464</v>
      </c>
      <c r="G55" s="680" t="s">
        <v>464</v>
      </c>
      <c r="H55" s="1891" t="s">
        <v>464</v>
      </c>
      <c r="I55" s="652" t="s">
        <v>464</v>
      </c>
      <c r="J55" s="1021" t="s">
        <v>464</v>
      </c>
      <c r="K55" s="654" t="s">
        <v>606</v>
      </c>
    </row>
    <row r="56" spans="1:11" ht="18" customHeight="1">
      <c r="A56" s="650" t="s">
        <v>607</v>
      </c>
      <c r="B56" s="1842" t="s">
        <v>464</v>
      </c>
      <c r="C56" s="2413" t="s">
        <v>464</v>
      </c>
      <c r="D56" s="2413" t="s">
        <v>464</v>
      </c>
      <c r="E56" s="1842" t="s">
        <v>464</v>
      </c>
      <c r="F56" s="677" t="s">
        <v>464</v>
      </c>
      <c r="G56" s="680" t="s">
        <v>464</v>
      </c>
      <c r="H56" s="1891" t="s">
        <v>464</v>
      </c>
      <c r="I56" s="652" t="s">
        <v>464</v>
      </c>
      <c r="J56" s="1021" t="s">
        <v>464</v>
      </c>
      <c r="K56" s="654" t="s">
        <v>607</v>
      </c>
    </row>
    <row r="57" spans="1:11" ht="18" customHeight="1">
      <c r="A57" s="650" t="s">
        <v>608</v>
      </c>
      <c r="B57" s="1842">
        <v>66</v>
      </c>
      <c r="C57" s="982">
        <f>(D57*1000)/B57</f>
        <v>2287.878787878788</v>
      </c>
      <c r="D57" s="2413">
        <v>151</v>
      </c>
      <c r="E57" s="1842">
        <v>4</v>
      </c>
      <c r="F57" s="641">
        <f>(G57*1000)/E57</f>
        <v>2750</v>
      </c>
      <c r="G57" s="1846">
        <v>11</v>
      </c>
      <c r="H57" s="1891" t="s">
        <v>464</v>
      </c>
      <c r="I57" s="652" t="s">
        <v>464</v>
      </c>
      <c r="J57" s="1021" t="s">
        <v>464</v>
      </c>
      <c r="K57" s="654" t="s">
        <v>608</v>
      </c>
    </row>
    <row r="58" spans="1:11" s="328" customFormat="1" ht="18" customHeight="1">
      <c r="A58" s="666"/>
      <c r="B58" s="1002"/>
      <c r="C58" s="1040"/>
      <c r="D58" s="1040"/>
      <c r="E58" s="997"/>
      <c r="F58" s="668"/>
      <c r="G58" s="1027"/>
      <c r="H58" s="668"/>
      <c r="I58" s="668"/>
      <c r="J58" s="669"/>
      <c r="K58" s="670"/>
    </row>
    <row r="59" spans="1:11" ht="18" customHeight="1">
      <c r="A59" s="666" t="s">
        <v>1286</v>
      </c>
      <c r="B59" s="667">
        <f>SUM(B60:B61)</f>
        <v>294</v>
      </c>
      <c r="C59" s="659">
        <f>(D59*1000)/B59</f>
        <v>2112.2448979591836</v>
      </c>
      <c r="D59" s="1893">
        <f>SUM(D60:D61)</f>
        <v>621</v>
      </c>
      <c r="E59" s="1042">
        <f>SUM(E60:E61)</f>
        <v>25</v>
      </c>
      <c r="F59" s="659">
        <f>(G59*1000)/E59</f>
        <v>2160</v>
      </c>
      <c r="G59" s="1000">
        <f>SUM(G60:G61)</f>
        <v>54</v>
      </c>
      <c r="H59" s="1891" t="s">
        <v>464</v>
      </c>
      <c r="I59" s="652" t="s">
        <v>464</v>
      </c>
      <c r="J59" s="1021" t="s">
        <v>464</v>
      </c>
      <c r="K59" s="661" t="s">
        <v>1286</v>
      </c>
    </row>
    <row r="60" spans="1:11" ht="18" customHeight="1">
      <c r="A60" s="662" t="s">
        <v>586</v>
      </c>
      <c r="B60" s="663">
        <v>86</v>
      </c>
      <c r="C60" s="641">
        <f>(D60*1000)/B60</f>
        <v>2337.2093023255816</v>
      </c>
      <c r="D60" s="1892">
        <v>201</v>
      </c>
      <c r="E60" s="1035">
        <v>10</v>
      </c>
      <c r="F60" s="641">
        <f>(G60*1000)/E60</f>
        <v>2100</v>
      </c>
      <c r="G60" s="999">
        <v>21</v>
      </c>
      <c r="H60" s="1891" t="s">
        <v>464</v>
      </c>
      <c r="I60" s="652" t="s">
        <v>464</v>
      </c>
      <c r="J60" s="1021" t="s">
        <v>464</v>
      </c>
      <c r="K60" s="654" t="s">
        <v>586</v>
      </c>
    </row>
    <row r="61" spans="1:11" ht="18" customHeight="1">
      <c r="A61" s="662" t="s">
        <v>587</v>
      </c>
      <c r="B61" s="663">
        <v>208</v>
      </c>
      <c r="C61" s="641">
        <f>(D61*1000)/B61</f>
        <v>2019.2307692307693</v>
      </c>
      <c r="D61" s="983">
        <v>420</v>
      </c>
      <c r="E61" s="1035">
        <v>15</v>
      </c>
      <c r="F61" s="641">
        <f>(G61*1000)/E61</f>
        <v>2200</v>
      </c>
      <c r="G61" s="1041">
        <v>33</v>
      </c>
      <c r="H61" s="1891" t="s">
        <v>464</v>
      </c>
      <c r="I61" s="652" t="s">
        <v>464</v>
      </c>
      <c r="J61" s="1021" t="s">
        <v>464</v>
      </c>
      <c r="K61" s="654" t="s">
        <v>587</v>
      </c>
    </row>
    <row r="62" spans="1:11" ht="18" customHeight="1">
      <c r="A62" s="662"/>
      <c r="B62" s="663"/>
      <c r="C62" s="664"/>
      <c r="D62" s="983"/>
      <c r="E62" s="995"/>
      <c r="F62" s="664"/>
      <c r="G62" s="1026"/>
      <c r="H62" s="983"/>
      <c r="I62" s="664"/>
      <c r="J62" s="665"/>
      <c r="K62" s="654"/>
    </row>
    <row r="63" spans="1:11" ht="18" customHeight="1">
      <c r="A63" s="666" t="s">
        <v>1287</v>
      </c>
      <c r="B63" s="667">
        <f>SUM(B64:B66)</f>
        <v>21.5</v>
      </c>
      <c r="C63" s="659">
        <f>(D63*1000)/B63</f>
        <v>2120.9302325581393</v>
      </c>
      <c r="D63" s="668">
        <f>SUM(D64:D66)</f>
        <v>45.6</v>
      </c>
      <c r="E63" s="1042">
        <f>SUM(E64:E66)</f>
        <v>1</v>
      </c>
      <c r="F63" s="659">
        <f>(G63*1000)/E63</f>
        <v>2000</v>
      </c>
      <c r="G63" s="1044">
        <f>SUM(G64:G66)</f>
        <v>2</v>
      </c>
      <c r="H63" s="1891" t="s">
        <v>464</v>
      </c>
      <c r="I63" s="652" t="s">
        <v>464</v>
      </c>
      <c r="J63" s="1021" t="s">
        <v>464</v>
      </c>
      <c r="K63" s="661" t="s">
        <v>1287</v>
      </c>
    </row>
    <row r="64" spans="1:11" ht="19.5" customHeight="1">
      <c r="A64" s="662" t="s">
        <v>1273</v>
      </c>
      <c r="B64" s="679">
        <v>2.5</v>
      </c>
      <c r="C64" s="641">
        <f>(D64*1000)/B64</f>
        <v>2640</v>
      </c>
      <c r="D64" s="2209">
        <v>6.6</v>
      </c>
      <c r="E64" s="1045" t="s">
        <v>464</v>
      </c>
      <c r="F64" s="652" t="s">
        <v>464</v>
      </c>
      <c r="G64" s="1047" t="s">
        <v>464</v>
      </c>
      <c r="H64" s="1891" t="s">
        <v>464</v>
      </c>
      <c r="I64" s="652" t="s">
        <v>464</v>
      </c>
      <c r="J64" s="1021" t="s">
        <v>464</v>
      </c>
      <c r="K64" s="654" t="s">
        <v>1273</v>
      </c>
    </row>
    <row r="65" spans="1:11" ht="18" customHeight="1">
      <c r="A65" s="662" t="s">
        <v>596</v>
      </c>
      <c r="B65" s="651" t="s">
        <v>464</v>
      </c>
      <c r="C65" s="652" t="s">
        <v>464</v>
      </c>
      <c r="D65" s="652" t="s">
        <v>464</v>
      </c>
      <c r="E65" s="1035">
        <v>1</v>
      </c>
      <c r="F65" s="641">
        <f>(G65*1000)/E65</f>
        <v>2000</v>
      </c>
      <c r="G65" s="1041">
        <v>2</v>
      </c>
      <c r="H65" s="1891" t="s">
        <v>464</v>
      </c>
      <c r="I65" s="652" t="s">
        <v>464</v>
      </c>
      <c r="J65" s="1021" t="s">
        <v>464</v>
      </c>
      <c r="K65" s="654" t="s">
        <v>596</v>
      </c>
    </row>
    <row r="66" spans="1:11" ht="18" customHeight="1" thickBot="1">
      <c r="A66" s="671" t="s">
        <v>595</v>
      </c>
      <c r="B66" s="672">
        <v>19</v>
      </c>
      <c r="C66" s="344">
        <f>(D66*1000)/B66</f>
        <v>2052.6315789473683</v>
      </c>
      <c r="D66" s="1390">
        <v>39</v>
      </c>
      <c r="E66" s="1051" t="s">
        <v>464</v>
      </c>
      <c r="F66" s="1052" t="s">
        <v>464</v>
      </c>
      <c r="G66" s="687" t="s">
        <v>464</v>
      </c>
      <c r="H66" s="1894" t="s">
        <v>464</v>
      </c>
      <c r="I66" s="686" t="s">
        <v>464</v>
      </c>
      <c r="J66" s="1029" t="s">
        <v>464</v>
      </c>
      <c r="K66" s="674" t="s">
        <v>595</v>
      </c>
    </row>
  </sheetData>
  <sheetProtection/>
  <mergeCells count="5">
    <mergeCell ref="B3:D3"/>
    <mergeCell ref="E3:G3"/>
    <mergeCell ref="H3:J3"/>
    <mergeCell ref="B36:D36"/>
    <mergeCell ref="E36:G36"/>
  </mergeCells>
  <printOptions/>
  <pageMargins left="0.55" right="0.7874015748031497" top="0.984251968503937" bottom="0.984251968503937" header="0.5118110236220472" footer="0.5118110236220472"/>
  <pageSetup horizontalDpi="300" verticalDpi="3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6"/>
  <sheetViews>
    <sheetView zoomScale="65" zoomScaleNormal="65" zoomScalePageLayoutView="0" workbookViewId="0" topLeftCell="A10">
      <selection activeCell="M5" sqref="M5:R12"/>
    </sheetView>
  </sheetViews>
  <sheetFormatPr defaultColWidth="9.140625" defaultRowHeight="12.75"/>
  <cols>
    <col min="1" max="1" width="22.140625" style="158" customWidth="1"/>
    <col min="2" max="3" width="10.421875" style="157" customWidth="1"/>
    <col min="4" max="4" width="14.7109375" style="157" customWidth="1"/>
    <col min="5" max="5" width="10.28125" style="157" customWidth="1"/>
    <col min="6" max="6" width="9.7109375" style="157" customWidth="1"/>
    <col min="7" max="7" width="15.57421875" style="157" customWidth="1"/>
    <col min="8" max="9" width="10.28125" style="157" customWidth="1"/>
    <col min="10" max="10" width="15.00390625" style="157" customWidth="1"/>
    <col min="11" max="11" width="21.00390625" style="180" customWidth="1"/>
    <col min="12" max="16384" width="9.140625" style="158" customWidth="1"/>
  </cols>
  <sheetData>
    <row r="1" spans="1:11" ht="20.25">
      <c r="A1" s="154" t="s">
        <v>632</v>
      </c>
      <c r="B1" s="159"/>
      <c r="C1" s="159"/>
      <c r="D1" s="159"/>
      <c r="E1" s="159"/>
      <c r="F1" s="159"/>
      <c r="G1" s="159"/>
      <c r="H1" s="159"/>
      <c r="I1" s="159"/>
      <c r="J1" s="159"/>
      <c r="K1" s="1007"/>
    </row>
    <row r="2" spans="1:11" ht="21" thickBot="1">
      <c r="A2" s="108"/>
      <c r="B2" s="159"/>
      <c r="C2" s="159"/>
      <c r="D2" s="159"/>
      <c r="E2" s="159"/>
      <c r="F2" s="159"/>
      <c r="G2" s="159"/>
      <c r="H2" s="159"/>
      <c r="I2" s="159"/>
      <c r="J2" s="159"/>
      <c r="K2" s="1007"/>
    </row>
    <row r="3" spans="1:11" ht="21" thickBot="1">
      <c r="A3" s="1008"/>
      <c r="B3" s="2874" t="s">
        <v>1475</v>
      </c>
      <c r="C3" s="2875"/>
      <c r="D3" s="2876"/>
      <c r="E3" s="2874" t="s">
        <v>1474</v>
      </c>
      <c r="F3" s="2875"/>
      <c r="G3" s="2876"/>
      <c r="H3" s="2874" t="s">
        <v>1476</v>
      </c>
      <c r="I3" s="2875"/>
      <c r="J3" s="2875"/>
      <c r="K3" s="1009"/>
    </row>
    <row r="4" spans="1:11" ht="20.25">
      <c r="A4" s="1010" t="s">
        <v>566</v>
      </c>
      <c r="B4" s="536" t="s">
        <v>567</v>
      </c>
      <c r="C4" s="536" t="s">
        <v>568</v>
      </c>
      <c r="D4" s="536" t="s">
        <v>569</v>
      </c>
      <c r="E4" s="536" t="s">
        <v>567</v>
      </c>
      <c r="F4" s="536" t="s">
        <v>568</v>
      </c>
      <c r="G4" s="536" t="s">
        <v>569</v>
      </c>
      <c r="H4" s="536" t="s">
        <v>567</v>
      </c>
      <c r="I4" s="536" t="s">
        <v>568</v>
      </c>
      <c r="J4" s="536" t="s">
        <v>569</v>
      </c>
      <c r="K4" s="1012" t="s">
        <v>570</v>
      </c>
    </row>
    <row r="5" spans="1:11" s="180" customFormat="1" ht="20.25">
      <c r="A5" s="1012" t="s">
        <v>571</v>
      </c>
      <c r="B5" s="639" t="s">
        <v>572</v>
      </c>
      <c r="C5" s="639" t="s">
        <v>573</v>
      </c>
      <c r="D5" s="639" t="s">
        <v>574</v>
      </c>
      <c r="E5" s="639" t="s">
        <v>572</v>
      </c>
      <c r="F5" s="639" t="s">
        <v>573</v>
      </c>
      <c r="G5" s="639" t="s">
        <v>574</v>
      </c>
      <c r="H5" s="639" t="s">
        <v>572</v>
      </c>
      <c r="I5" s="639" t="s">
        <v>573</v>
      </c>
      <c r="J5" s="639" t="s">
        <v>574</v>
      </c>
      <c r="K5" s="1012" t="s">
        <v>575</v>
      </c>
    </row>
    <row r="6" spans="1:11" ht="21" thickBot="1">
      <c r="A6" s="1013"/>
      <c r="B6" s="535" t="s">
        <v>444</v>
      </c>
      <c r="C6" s="535" t="s">
        <v>576</v>
      </c>
      <c r="D6" s="535" t="s">
        <v>577</v>
      </c>
      <c r="E6" s="535" t="s">
        <v>444</v>
      </c>
      <c r="F6" s="535" t="s">
        <v>576</v>
      </c>
      <c r="G6" s="535" t="s">
        <v>577</v>
      </c>
      <c r="H6" s="535" t="s">
        <v>444</v>
      </c>
      <c r="I6" s="535" t="s">
        <v>576</v>
      </c>
      <c r="J6" s="535" t="s">
        <v>577</v>
      </c>
      <c r="K6" s="1014"/>
    </row>
    <row r="7" spans="1:11" s="190" customFormat="1" ht="22.5" customHeight="1" thickBot="1">
      <c r="A7" s="675" t="s">
        <v>578</v>
      </c>
      <c r="B7" s="633">
        <f>SUM(B8+B13+B20+B26+B30)</f>
        <v>972</v>
      </c>
      <c r="C7" s="678">
        <f>(D7*1000)/B7</f>
        <v>3587.448559670782</v>
      </c>
      <c r="D7" s="635">
        <f>SUM(D8+D13+D20+D26+D30)</f>
        <v>3487</v>
      </c>
      <c r="E7" s="633">
        <f>SUM(E13+E20+E26+E30)</f>
        <v>250</v>
      </c>
      <c r="F7" s="678">
        <f>(G7*1000)/E7</f>
        <v>2456</v>
      </c>
      <c r="G7" s="635">
        <f>SUM(G13+G20+G26+G30)</f>
        <v>614</v>
      </c>
      <c r="H7" s="633">
        <f>SUM(H8+H13+H20+H26+H30)</f>
        <v>233</v>
      </c>
      <c r="I7" s="678">
        <f>(J7*1000)/H7</f>
        <v>3536.480686695279</v>
      </c>
      <c r="J7" s="635">
        <f>SUM(J8+J13+J20+J26+J30)</f>
        <v>824</v>
      </c>
      <c r="K7" s="967" t="s">
        <v>579</v>
      </c>
    </row>
    <row r="8" spans="1:11" s="190" customFormat="1" ht="18.75" customHeight="1">
      <c r="A8" s="646" t="s">
        <v>580</v>
      </c>
      <c r="B8" s="647">
        <f>SUM(B9:B11)</f>
        <v>93</v>
      </c>
      <c r="C8" s="644">
        <f>(D8*1000)/B8</f>
        <v>3591.3978494623657</v>
      </c>
      <c r="D8" s="648">
        <f>SUM(D9:D11)</f>
        <v>334</v>
      </c>
      <c r="E8" s="2587" t="s">
        <v>464</v>
      </c>
      <c r="F8" s="683" t="s">
        <v>464</v>
      </c>
      <c r="G8" s="684" t="s">
        <v>464</v>
      </c>
      <c r="H8" s="647">
        <f>SUM(H9:H11)</f>
        <v>14</v>
      </c>
      <c r="I8" s="644">
        <f>(J8*1000)/H8</f>
        <v>2928.5714285714284</v>
      </c>
      <c r="J8" s="648">
        <f>SUM(J9:J11)</f>
        <v>41</v>
      </c>
      <c r="K8" s="649" t="s">
        <v>581</v>
      </c>
    </row>
    <row r="9" spans="1:11" ht="18.75" customHeight="1">
      <c r="A9" s="650" t="s">
        <v>582</v>
      </c>
      <c r="B9" s="679">
        <v>40</v>
      </c>
      <c r="C9" s="641">
        <f>(D9*1000)/B9</f>
        <v>3050</v>
      </c>
      <c r="D9" s="680">
        <v>122</v>
      </c>
      <c r="E9" s="679" t="s">
        <v>464</v>
      </c>
      <c r="F9" s="677" t="s">
        <v>464</v>
      </c>
      <c r="G9" s="680" t="s">
        <v>464</v>
      </c>
      <c r="H9" s="723">
        <v>14</v>
      </c>
      <c r="I9" s="976">
        <f>(J9*1000)/H9</f>
        <v>2928.5714285714284</v>
      </c>
      <c r="J9" s="2352">
        <v>41</v>
      </c>
      <c r="K9" s="654" t="s">
        <v>583</v>
      </c>
    </row>
    <row r="10" spans="1:11" ht="18.75" customHeight="1">
      <c r="A10" s="650" t="s">
        <v>584</v>
      </c>
      <c r="B10" s="723" t="s">
        <v>464</v>
      </c>
      <c r="C10" s="1847" t="s">
        <v>464</v>
      </c>
      <c r="D10" s="2352" t="s">
        <v>464</v>
      </c>
      <c r="E10" s="723" t="s">
        <v>464</v>
      </c>
      <c r="F10" s="1847" t="s">
        <v>464</v>
      </c>
      <c r="G10" s="2352" t="s">
        <v>464</v>
      </c>
      <c r="H10" s="723" t="s">
        <v>464</v>
      </c>
      <c r="I10" s="1847" t="s">
        <v>464</v>
      </c>
      <c r="J10" s="2352" t="s">
        <v>464</v>
      </c>
      <c r="K10" s="654" t="s">
        <v>584</v>
      </c>
    </row>
    <row r="11" spans="1:11" ht="18.75" customHeight="1">
      <c r="A11" s="650" t="s">
        <v>585</v>
      </c>
      <c r="B11" s="679">
        <v>53</v>
      </c>
      <c r="C11" s="641">
        <f>(D11*1000)/B11</f>
        <v>4000</v>
      </c>
      <c r="D11" s="680">
        <v>212</v>
      </c>
      <c r="E11" s="679" t="s">
        <v>464</v>
      </c>
      <c r="F11" s="677" t="s">
        <v>464</v>
      </c>
      <c r="G11" s="680" t="s">
        <v>464</v>
      </c>
      <c r="H11" s="679" t="s">
        <v>464</v>
      </c>
      <c r="I11" s="677" t="s">
        <v>464</v>
      </c>
      <c r="J11" s="680" t="s">
        <v>464</v>
      </c>
      <c r="K11" s="654" t="s">
        <v>585</v>
      </c>
    </row>
    <row r="12" spans="1:11" ht="18.75" customHeight="1">
      <c r="A12" s="650"/>
      <c r="B12" s="655"/>
      <c r="C12" s="641"/>
      <c r="D12" s="656"/>
      <c r="E12" s="655"/>
      <c r="F12" s="641"/>
      <c r="G12" s="656"/>
      <c r="H12" s="655"/>
      <c r="I12" s="641"/>
      <c r="J12" s="656"/>
      <c r="K12" s="654"/>
    </row>
    <row r="13" spans="1:11" ht="18.75" customHeight="1">
      <c r="A13" s="657" t="s">
        <v>588</v>
      </c>
      <c r="B13" s="658">
        <f>SUM(B14:B18)</f>
        <v>22</v>
      </c>
      <c r="C13" s="659">
        <f>(D13*1000)/B13</f>
        <v>4000</v>
      </c>
      <c r="D13" s="660">
        <f>SUM(D14:D18)</f>
        <v>88</v>
      </c>
      <c r="E13" s="658">
        <f>SUM(E14:E18)</f>
        <v>26</v>
      </c>
      <c r="F13" s="659">
        <f>(G13*1000)/E13</f>
        <v>2769.230769230769</v>
      </c>
      <c r="G13" s="660">
        <f>SUM(G14:G18)</f>
        <v>72</v>
      </c>
      <c r="H13" s="658">
        <f>SUM(H14:H18)</f>
        <v>6</v>
      </c>
      <c r="I13" s="659">
        <f>(J13*1000)/H13</f>
        <v>4666.666666666667</v>
      </c>
      <c r="J13" s="1872">
        <f>SUM(J14:J18)</f>
        <v>28</v>
      </c>
      <c r="K13" s="661" t="s">
        <v>589</v>
      </c>
    </row>
    <row r="14" spans="1:11" ht="18.75" customHeight="1">
      <c r="A14" s="650" t="s">
        <v>590</v>
      </c>
      <c r="B14" s="679" t="s">
        <v>464</v>
      </c>
      <c r="C14" s="677" t="s">
        <v>464</v>
      </c>
      <c r="D14" s="680" t="s">
        <v>464</v>
      </c>
      <c r="E14" s="679" t="s">
        <v>464</v>
      </c>
      <c r="F14" s="677" t="s">
        <v>464</v>
      </c>
      <c r="G14" s="680" t="s">
        <v>464</v>
      </c>
      <c r="H14" s="679" t="s">
        <v>464</v>
      </c>
      <c r="I14" s="677" t="s">
        <v>464</v>
      </c>
      <c r="J14" s="1846" t="s">
        <v>464</v>
      </c>
      <c r="K14" s="654" t="s">
        <v>591</v>
      </c>
    </row>
    <row r="15" spans="1:11" s="190" customFormat="1" ht="18.75" customHeight="1">
      <c r="A15" s="650" t="s">
        <v>592</v>
      </c>
      <c r="B15" s="1025">
        <v>2</v>
      </c>
      <c r="C15" s="976">
        <f>(D15*1000)/B15</f>
        <v>3500</v>
      </c>
      <c r="D15" s="2351">
        <v>7</v>
      </c>
      <c r="E15" s="655">
        <v>3</v>
      </c>
      <c r="F15" s="641">
        <f>(G15*1000)/E15</f>
        <v>2333.3333333333335</v>
      </c>
      <c r="G15" s="656">
        <v>7</v>
      </c>
      <c r="H15" s="655">
        <v>4</v>
      </c>
      <c r="I15" s="641">
        <f>(J15*1000)/H15</f>
        <v>4750</v>
      </c>
      <c r="J15" s="1864">
        <v>19</v>
      </c>
      <c r="K15" s="654" t="s">
        <v>593</v>
      </c>
    </row>
    <row r="16" spans="1:11" ht="18.75" customHeight="1">
      <c r="A16" s="650" t="s">
        <v>594</v>
      </c>
      <c r="B16" s="1025">
        <v>7</v>
      </c>
      <c r="C16" s="976">
        <f>(D16*1000)/B16</f>
        <v>2571.4285714285716</v>
      </c>
      <c r="D16" s="2351">
        <v>18</v>
      </c>
      <c r="E16" s="655">
        <v>23</v>
      </c>
      <c r="F16" s="641">
        <f>(G16*1000)/E16</f>
        <v>2826.086956521739</v>
      </c>
      <c r="G16" s="656">
        <v>65</v>
      </c>
      <c r="H16" s="679">
        <v>2</v>
      </c>
      <c r="I16" s="641">
        <f>(J16*1000)/H16</f>
        <v>4500</v>
      </c>
      <c r="J16" s="680">
        <v>9</v>
      </c>
      <c r="K16" s="654" t="s">
        <v>594</v>
      </c>
    </row>
    <row r="17" spans="1:11" ht="18.75" customHeight="1">
      <c r="A17" s="650" t="s">
        <v>599</v>
      </c>
      <c r="B17" s="679">
        <v>8</v>
      </c>
      <c r="C17" s="641">
        <f>(D17*1000)/B17</f>
        <v>4875</v>
      </c>
      <c r="D17" s="680">
        <v>39</v>
      </c>
      <c r="E17" s="679" t="s">
        <v>464</v>
      </c>
      <c r="F17" s="677" t="s">
        <v>464</v>
      </c>
      <c r="G17" s="680" t="s">
        <v>464</v>
      </c>
      <c r="H17" s="679" t="s">
        <v>464</v>
      </c>
      <c r="I17" s="677" t="s">
        <v>464</v>
      </c>
      <c r="J17" s="680" t="s">
        <v>464</v>
      </c>
      <c r="K17" s="654" t="s">
        <v>599</v>
      </c>
    </row>
    <row r="18" spans="1:11" ht="18.75" customHeight="1">
      <c r="A18" s="650" t="s">
        <v>598</v>
      </c>
      <c r="B18" s="679">
        <v>5</v>
      </c>
      <c r="C18" s="641">
        <f>(D18*1000)/B18</f>
        <v>4800</v>
      </c>
      <c r="D18" s="680">
        <v>24</v>
      </c>
      <c r="E18" s="679" t="s">
        <v>464</v>
      </c>
      <c r="F18" s="677" t="s">
        <v>464</v>
      </c>
      <c r="G18" s="680" t="s">
        <v>464</v>
      </c>
      <c r="H18" s="679" t="s">
        <v>464</v>
      </c>
      <c r="I18" s="677" t="s">
        <v>464</v>
      </c>
      <c r="J18" s="680" t="s">
        <v>464</v>
      </c>
      <c r="K18" s="654" t="s">
        <v>598</v>
      </c>
    </row>
    <row r="19" spans="1:11" ht="18.75" customHeight="1">
      <c r="A19" s="662"/>
      <c r="B19" s="663"/>
      <c r="C19" s="664"/>
      <c r="D19" s="665"/>
      <c r="E19" s="663"/>
      <c r="F19" s="664"/>
      <c r="G19" s="665"/>
      <c r="H19" s="663"/>
      <c r="I19" s="664"/>
      <c r="J19" s="665"/>
      <c r="K19" s="654"/>
    </row>
    <row r="20" spans="1:11" ht="18.75" customHeight="1">
      <c r="A20" s="657" t="s">
        <v>601</v>
      </c>
      <c r="B20" s="658">
        <f>SUM(B21:B24)</f>
        <v>554</v>
      </c>
      <c r="C20" s="659">
        <f>(D20*1000)/B20</f>
        <v>3949.4584837545126</v>
      </c>
      <c r="D20" s="660">
        <f>SUM(D21:D24)</f>
        <v>2188</v>
      </c>
      <c r="E20" s="658">
        <f>SUM(E21:E24)</f>
        <v>26</v>
      </c>
      <c r="F20" s="659">
        <f>(G20*1000)/E20</f>
        <v>2615.3846153846152</v>
      </c>
      <c r="G20" s="660">
        <f>SUM(G21:G24)</f>
        <v>68</v>
      </c>
      <c r="H20" s="658">
        <f>SUM(H21:H24)</f>
        <v>46</v>
      </c>
      <c r="I20" s="659">
        <f>(J20*1000)/H20</f>
        <v>3608.695652173913</v>
      </c>
      <c r="J20" s="660">
        <f>SUM(J21:J24)</f>
        <v>166</v>
      </c>
      <c r="K20" s="661" t="s">
        <v>602</v>
      </c>
    </row>
    <row r="21" spans="1:11" ht="18.75" customHeight="1">
      <c r="A21" s="650" t="s">
        <v>603</v>
      </c>
      <c r="B21" s="984">
        <v>16</v>
      </c>
      <c r="C21" s="641">
        <f>(D21*1000)/B21</f>
        <v>3125</v>
      </c>
      <c r="D21" s="656">
        <v>50</v>
      </c>
      <c r="E21" s="984">
        <v>3</v>
      </c>
      <c r="F21" s="641">
        <f>(G21*1000)/E21</f>
        <v>2666.6666666666665</v>
      </c>
      <c r="G21" s="656">
        <v>8</v>
      </c>
      <c r="H21" s="679" t="s">
        <v>464</v>
      </c>
      <c r="I21" s="677" t="s">
        <v>464</v>
      </c>
      <c r="J21" s="680" t="s">
        <v>464</v>
      </c>
      <c r="K21" s="654" t="s">
        <v>604</v>
      </c>
    </row>
    <row r="22" spans="1:11" ht="18.75" customHeight="1">
      <c r="A22" s="650" t="s">
        <v>605</v>
      </c>
      <c r="B22" s="723">
        <v>24</v>
      </c>
      <c r="C22" s="976">
        <f>(D22*1000)/B22</f>
        <v>4583.333333333333</v>
      </c>
      <c r="D22" s="2352">
        <v>110</v>
      </c>
      <c r="E22" s="655">
        <v>2</v>
      </c>
      <c r="F22" s="641">
        <f>(G22*1000)/E22</f>
        <v>2500</v>
      </c>
      <c r="G22" s="656">
        <v>5</v>
      </c>
      <c r="H22" s="679" t="s">
        <v>464</v>
      </c>
      <c r="I22" s="677" t="s">
        <v>464</v>
      </c>
      <c r="J22" s="680" t="s">
        <v>464</v>
      </c>
      <c r="K22" s="654" t="s">
        <v>606</v>
      </c>
    </row>
    <row r="23" spans="1:11" ht="18.75" customHeight="1">
      <c r="A23" s="650" t="s">
        <v>607</v>
      </c>
      <c r="B23" s="679" t="s">
        <v>464</v>
      </c>
      <c r="C23" s="677" t="s">
        <v>464</v>
      </c>
      <c r="D23" s="680" t="s">
        <v>464</v>
      </c>
      <c r="E23" s="679" t="s">
        <v>464</v>
      </c>
      <c r="F23" s="677" t="s">
        <v>464</v>
      </c>
      <c r="G23" s="680" t="s">
        <v>464</v>
      </c>
      <c r="H23" s="679" t="s">
        <v>464</v>
      </c>
      <c r="I23" s="677" t="s">
        <v>464</v>
      </c>
      <c r="J23" s="680" t="s">
        <v>464</v>
      </c>
      <c r="K23" s="654" t="s">
        <v>607</v>
      </c>
    </row>
    <row r="24" spans="1:11" ht="18.75" customHeight="1">
      <c r="A24" s="650" t="s">
        <v>608</v>
      </c>
      <c r="B24" s="655">
        <v>514</v>
      </c>
      <c r="C24" s="641">
        <f>(D24*1000)/B24</f>
        <v>3945.525291828794</v>
      </c>
      <c r="D24" s="656">
        <v>2028</v>
      </c>
      <c r="E24" s="655">
        <v>21</v>
      </c>
      <c r="F24" s="641">
        <f>(G24*1000)/E24</f>
        <v>2619.0476190476193</v>
      </c>
      <c r="G24" s="656">
        <v>55</v>
      </c>
      <c r="H24" s="655">
        <v>46</v>
      </c>
      <c r="I24" s="641">
        <f>(J24*1000)/H24</f>
        <v>3608.695652173913</v>
      </c>
      <c r="J24" s="656">
        <v>166</v>
      </c>
      <c r="K24" s="654" t="s">
        <v>608</v>
      </c>
    </row>
    <row r="25" spans="1:11" s="190" customFormat="1" ht="18.75" customHeight="1">
      <c r="A25" s="666"/>
      <c r="B25" s="667"/>
      <c r="C25" s="668"/>
      <c r="D25" s="669"/>
      <c r="E25" s="667"/>
      <c r="F25" s="668"/>
      <c r="G25" s="669"/>
      <c r="H25" s="667"/>
      <c r="I25" s="668"/>
      <c r="J25" s="669"/>
      <c r="K25" s="670"/>
    </row>
    <row r="26" spans="1:11" ht="18.75" customHeight="1">
      <c r="A26" s="666" t="s">
        <v>1286</v>
      </c>
      <c r="B26" s="667">
        <f>SUM(B27:B28)</f>
        <v>274</v>
      </c>
      <c r="C26" s="659">
        <f>(D26*1000)/B26</f>
        <v>2773.7226277372265</v>
      </c>
      <c r="D26" s="669">
        <f>SUM(D27:D28)</f>
        <v>760</v>
      </c>
      <c r="E26" s="667">
        <f>SUM(E27:E28)</f>
        <v>147</v>
      </c>
      <c r="F26" s="659">
        <f>(G26*1000)/E26</f>
        <v>2448.9795918367345</v>
      </c>
      <c r="G26" s="669">
        <f>SUM(G27:G28)</f>
        <v>360</v>
      </c>
      <c r="H26" s="667">
        <f>SUM(H27:H28)</f>
        <v>145</v>
      </c>
      <c r="I26" s="659">
        <f>(J26*1000)/H26</f>
        <v>3365.5172413793102</v>
      </c>
      <c r="J26" s="669">
        <f>SUM(J27:J28)</f>
        <v>488</v>
      </c>
      <c r="K26" s="661" t="s">
        <v>1286</v>
      </c>
    </row>
    <row r="27" spans="1:11" ht="18.75" customHeight="1">
      <c r="A27" s="662" t="s">
        <v>586</v>
      </c>
      <c r="B27" s="663">
        <v>105</v>
      </c>
      <c r="C27" s="641">
        <f>(D27*1000)/B27</f>
        <v>2809.5238095238096</v>
      </c>
      <c r="D27" s="665">
        <v>295</v>
      </c>
      <c r="E27" s="663">
        <v>37</v>
      </c>
      <c r="F27" s="641">
        <f>(G27*1000)/E27</f>
        <v>2567.5675675675675</v>
      </c>
      <c r="G27" s="665">
        <v>95</v>
      </c>
      <c r="H27" s="663">
        <v>37</v>
      </c>
      <c r="I27" s="641">
        <f>(J27*1000)/H27</f>
        <v>3567.5675675675675</v>
      </c>
      <c r="J27" s="665">
        <v>132</v>
      </c>
      <c r="K27" s="654" t="s">
        <v>586</v>
      </c>
    </row>
    <row r="28" spans="1:11" ht="18.75" customHeight="1">
      <c r="A28" s="662" t="s">
        <v>587</v>
      </c>
      <c r="B28" s="663">
        <v>169</v>
      </c>
      <c r="C28" s="641">
        <f>(D28*1000)/B28</f>
        <v>2751.4792899408285</v>
      </c>
      <c r="D28" s="665">
        <v>465</v>
      </c>
      <c r="E28" s="663">
        <v>110</v>
      </c>
      <c r="F28" s="641">
        <f>(G28*1000)/E28</f>
        <v>2409.090909090909</v>
      </c>
      <c r="G28" s="665">
        <v>265</v>
      </c>
      <c r="H28" s="663">
        <v>108</v>
      </c>
      <c r="I28" s="641">
        <f>(J28*1000)/H28</f>
        <v>3296.296296296296</v>
      </c>
      <c r="J28" s="665">
        <v>356</v>
      </c>
      <c r="K28" s="654" t="s">
        <v>587</v>
      </c>
    </row>
    <row r="29" spans="1:11" ht="18.75" customHeight="1">
      <c r="A29" s="662"/>
      <c r="B29" s="663"/>
      <c r="C29" s="664"/>
      <c r="D29" s="665"/>
      <c r="E29" s="663"/>
      <c r="F29" s="664"/>
      <c r="G29" s="665"/>
      <c r="H29" s="663"/>
      <c r="I29" s="664"/>
      <c r="J29" s="665"/>
      <c r="K29" s="654"/>
    </row>
    <row r="30" spans="1:11" ht="18.75" customHeight="1">
      <c r="A30" s="666" t="s">
        <v>1287</v>
      </c>
      <c r="B30" s="667">
        <f>SUM(B31:B33)</f>
        <v>29</v>
      </c>
      <c r="C30" s="659">
        <f>(D30*1000)/B30</f>
        <v>4034.4827586206898</v>
      </c>
      <c r="D30" s="669">
        <f>SUM(D31:D33)</f>
        <v>117</v>
      </c>
      <c r="E30" s="667">
        <f>SUM(E31:E33)</f>
        <v>51</v>
      </c>
      <c r="F30" s="659">
        <f>(G30*1000)/E30</f>
        <v>2235.294117647059</v>
      </c>
      <c r="G30" s="669">
        <f>SUM(G31:G33)</f>
        <v>114</v>
      </c>
      <c r="H30" s="667">
        <f>SUM(H31:H33)</f>
        <v>22</v>
      </c>
      <c r="I30" s="659">
        <f>(J30*1000)/H30</f>
        <v>4590.909090909091</v>
      </c>
      <c r="J30" s="669">
        <f>SUM(J31:J33)</f>
        <v>101</v>
      </c>
      <c r="K30" s="661" t="s">
        <v>1287</v>
      </c>
    </row>
    <row r="31" spans="1:11" ht="18.75" customHeight="1">
      <c r="A31" s="662" t="s">
        <v>1273</v>
      </c>
      <c r="B31" s="663">
        <v>5</v>
      </c>
      <c r="C31" s="641">
        <f>(D31*1000)/B31</f>
        <v>3600</v>
      </c>
      <c r="D31" s="665">
        <v>18</v>
      </c>
      <c r="E31" s="679" t="s">
        <v>464</v>
      </c>
      <c r="F31" s="677" t="s">
        <v>464</v>
      </c>
      <c r="G31" s="680" t="s">
        <v>464</v>
      </c>
      <c r="H31" s="679" t="s">
        <v>464</v>
      </c>
      <c r="I31" s="677" t="s">
        <v>464</v>
      </c>
      <c r="J31" s="680" t="s">
        <v>464</v>
      </c>
      <c r="K31" s="654" t="s">
        <v>1273</v>
      </c>
    </row>
    <row r="32" spans="1:11" ht="18.75" customHeight="1">
      <c r="A32" s="662" t="s">
        <v>596</v>
      </c>
      <c r="B32" s="663">
        <v>2</v>
      </c>
      <c r="C32" s="641">
        <f>(D32*1000)/B32</f>
        <v>3500</v>
      </c>
      <c r="D32" s="665">
        <v>7</v>
      </c>
      <c r="E32" s="663">
        <v>2</v>
      </c>
      <c r="F32" s="641">
        <f>(G32*1000)/E32</f>
        <v>2000</v>
      </c>
      <c r="G32" s="665">
        <v>4</v>
      </c>
      <c r="H32" s="663">
        <v>1</v>
      </c>
      <c r="I32" s="641">
        <f>(J32*1000)/H32</f>
        <v>3000</v>
      </c>
      <c r="J32" s="665">
        <v>3</v>
      </c>
      <c r="K32" s="654" t="s">
        <v>596</v>
      </c>
    </row>
    <row r="33" spans="1:11" ht="18.75" customHeight="1" thickBot="1">
      <c r="A33" s="671" t="s">
        <v>595</v>
      </c>
      <c r="B33" s="672">
        <v>22</v>
      </c>
      <c r="C33" s="344">
        <f>(D33*1000)/B33</f>
        <v>4181.818181818182</v>
      </c>
      <c r="D33" s="673">
        <v>92</v>
      </c>
      <c r="E33" s="672">
        <v>49</v>
      </c>
      <c r="F33" s="344">
        <f>(G33*1000)/E33</f>
        <v>2244.8979591836733</v>
      </c>
      <c r="G33" s="673">
        <v>110</v>
      </c>
      <c r="H33" s="672">
        <v>21</v>
      </c>
      <c r="I33" s="344">
        <f>(J33*1000)/H33</f>
        <v>4666.666666666667</v>
      </c>
      <c r="J33" s="673">
        <v>98</v>
      </c>
      <c r="K33" s="674" t="s">
        <v>595</v>
      </c>
    </row>
    <row r="34" spans="1:11" ht="15.75" customHeight="1">
      <c r="A34" s="983"/>
      <c r="B34" s="640"/>
      <c r="C34" s="640"/>
      <c r="D34" s="640"/>
      <c r="E34" s="640"/>
      <c r="F34" s="640"/>
      <c r="G34" s="640"/>
      <c r="H34" s="640"/>
      <c r="I34" s="640"/>
      <c r="J34" s="640"/>
      <c r="K34" s="1050"/>
    </row>
    <row r="35" spans="1:11" ht="15.75" customHeight="1" thickBot="1">
      <c r="A35" s="108"/>
      <c r="B35" s="159"/>
      <c r="C35" s="159"/>
      <c r="D35" s="159"/>
      <c r="E35" s="159"/>
      <c r="F35" s="159"/>
      <c r="G35" s="159"/>
      <c r="H35" s="159"/>
      <c r="I35" s="159"/>
      <c r="J35" s="159"/>
      <c r="K35" s="1007"/>
    </row>
    <row r="36" spans="1:11" ht="20.25" customHeight="1" thickBot="1">
      <c r="A36" s="1008"/>
      <c r="B36" s="2874" t="s">
        <v>1477</v>
      </c>
      <c r="C36" s="2875"/>
      <c r="D36" s="2876"/>
      <c r="E36" s="2874" t="s">
        <v>1478</v>
      </c>
      <c r="F36" s="2875"/>
      <c r="G36" s="2876"/>
      <c r="H36" s="2874" t="s">
        <v>1479</v>
      </c>
      <c r="I36" s="2875"/>
      <c r="J36" s="2875"/>
      <c r="K36" s="1009"/>
    </row>
    <row r="37" spans="1:11" ht="20.25" customHeight="1">
      <c r="A37" s="1010" t="s">
        <v>566</v>
      </c>
      <c r="B37" s="536" t="s">
        <v>567</v>
      </c>
      <c r="C37" s="536" t="s">
        <v>568</v>
      </c>
      <c r="D37" s="536" t="s">
        <v>569</v>
      </c>
      <c r="E37" s="536" t="s">
        <v>567</v>
      </c>
      <c r="F37" s="536" t="s">
        <v>568</v>
      </c>
      <c r="G37" s="536" t="s">
        <v>569</v>
      </c>
      <c r="H37" s="536" t="s">
        <v>567</v>
      </c>
      <c r="I37" s="536" t="s">
        <v>568</v>
      </c>
      <c r="J37" s="536" t="s">
        <v>569</v>
      </c>
      <c r="K37" s="1011" t="s">
        <v>570</v>
      </c>
    </row>
    <row r="38" spans="1:11" ht="20.25" customHeight="1">
      <c r="A38" s="1010" t="s">
        <v>571</v>
      </c>
      <c r="B38" s="535" t="s">
        <v>572</v>
      </c>
      <c r="C38" s="535" t="s">
        <v>573</v>
      </c>
      <c r="D38" s="535" t="s">
        <v>574</v>
      </c>
      <c r="E38" s="535" t="s">
        <v>572</v>
      </c>
      <c r="F38" s="535" t="s">
        <v>573</v>
      </c>
      <c r="G38" s="535" t="s">
        <v>574</v>
      </c>
      <c r="H38" s="535" t="s">
        <v>572</v>
      </c>
      <c r="I38" s="535" t="s">
        <v>573</v>
      </c>
      <c r="J38" s="535" t="s">
        <v>574</v>
      </c>
      <c r="K38" s="1011" t="s">
        <v>575</v>
      </c>
    </row>
    <row r="39" spans="1:11" ht="20.25" customHeight="1" thickBot="1">
      <c r="A39" s="1013"/>
      <c r="B39" s="535" t="s">
        <v>444</v>
      </c>
      <c r="C39" s="535" t="s">
        <v>576</v>
      </c>
      <c r="D39" s="535" t="s">
        <v>577</v>
      </c>
      <c r="E39" s="535" t="s">
        <v>444</v>
      </c>
      <c r="F39" s="535" t="s">
        <v>576</v>
      </c>
      <c r="G39" s="535" t="s">
        <v>577</v>
      </c>
      <c r="H39" s="535" t="s">
        <v>444</v>
      </c>
      <c r="I39" s="535" t="s">
        <v>576</v>
      </c>
      <c r="J39" s="535" t="s">
        <v>577</v>
      </c>
      <c r="K39" s="1014"/>
    </row>
    <row r="40" spans="1:11" s="190" customFormat="1" ht="21.75" customHeight="1" thickBot="1">
      <c r="A40" s="675" t="s">
        <v>578</v>
      </c>
      <c r="B40" s="1849">
        <f>SUM(B41+B46+B53+B59+B63)</f>
        <v>137</v>
      </c>
      <c r="C40" s="678">
        <f>(D40*1000)/B40</f>
        <v>1784.6715328467153</v>
      </c>
      <c r="D40" s="2761">
        <f>SUM(D41+D46+D53+D59+D63)</f>
        <v>244.5</v>
      </c>
      <c r="E40" s="1849">
        <f>SUM(E41+E46+E53+E59+E63)</f>
        <v>225</v>
      </c>
      <c r="F40" s="678">
        <f>(G40*1000)/E40</f>
        <v>2553.3333333333335</v>
      </c>
      <c r="G40" s="1850">
        <f>SUM(G41+G46+G53+G59+G63)</f>
        <v>574.5</v>
      </c>
      <c r="H40" s="1849">
        <f>SUM(H41+H53+H59+H46+H63)</f>
        <v>200</v>
      </c>
      <c r="I40" s="1017">
        <f>(J40*1000)/H40</f>
        <v>2465</v>
      </c>
      <c r="J40" s="1850">
        <f>SUM(J41+J53+J59+J46+J63)</f>
        <v>493</v>
      </c>
      <c r="K40" s="967" t="s">
        <v>579</v>
      </c>
    </row>
    <row r="41" spans="1:11" s="190" customFormat="1" ht="18.75" customHeight="1">
      <c r="A41" s="646" t="s">
        <v>580</v>
      </c>
      <c r="B41" s="1851">
        <f>SUM(B42:B44)</f>
        <v>2</v>
      </c>
      <c r="C41" s="644">
        <f>(D41*1000)/B41</f>
        <v>1750</v>
      </c>
      <c r="D41" s="2762">
        <f>SUM(D42:D44)</f>
        <v>3.5</v>
      </c>
      <c r="E41" s="1851">
        <f>SUM(E42:E44)</f>
        <v>3</v>
      </c>
      <c r="F41" s="644">
        <f>(G41*1000)/E41</f>
        <v>2666.6666666666665</v>
      </c>
      <c r="G41" s="648">
        <f>SUM(G42:G44)</f>
        <v>8</v>
      </c>
      <c r="H41" s="1851">
        <f>SUM(H42:H44)</f>
        <v>45</v>
      </c>
      <c r="I41" s="644">
        <f>(J41*1000)/H41</f>
        <v>2422.222222222222</v>
      </c>
      <c r="J41" s="648">
        <f>SUM(J42:J44)</f>
        <v>109</v>
      </c>
      <c r="K41" s="649" t="s">
        <v>581</v>
      </c>
    </row>
    <row r="42" spans="1:11" ht="18.75" customHeight="1">
      <c r="A42" s="650" t="s">
        <v>582</v>
      </c>
      <c r="B42" s="679">
        <v>2</v>
      </c>
      <c r="C42" s="641">
        <f>(D42*1000)/B42</f>
        <v>1750</v>
      </c>
      <c r="D42" s="1848">
        <v>3.5</v>
      </c>
      <c r="E42" s="679" t="s">
        <v>464</v>
      </c>
      <c r="F42" s="677" t="s">
        <v>464</v>
      </c>
      <c r="G42" s="680" t="s">
        <v>464</v>
      </c>
      <c r="H42" s="679">
        <v>45</v>
      </c>
      <c r="I42" s="641">
        <f>(J42*1000)/H42</f>
        <v>2422.222222222222</v>
      </c>
      <c r="J42" s="680">
        <v>109</v>
      </c>
      <c r="K42" s="654" t="s">
        <v>583</v>
      </c>
    </row>
    <row r="43" spans="1:11" ht="18.75" customHeight="1">
      <c r="A43" s="650" t="s">
        <v>584</v>
      </c>
      <c r="B43" s="679" t="s">
        <v>464</v>
      </c>
      <c r="C43" s="677" t="s">
        <v>464</v>
      </c>
      <c r="D43" s="680" t="s">
        <v>464</v>
      </c>
      <c r="E43" s="679">
        <v>3</v>
      </c>
      <c r="F43" s="641">
        <f>(G43*1000)/E43</f>
        <v>2666.6666666666665</v>
      </c>
      <c r="G43" s="680">
        <v>8</v>
      </c>
      <c r="H43" s="679" t="s">
        <v>464</v>
      </c>
      <c r="I43" s="677" t="s">
        <v>464</v>
      </c>
      <c r="J43" s="680" t="s">
        <v>464</v>
      </c>
      <c r="K43" s="654" t="s">
        <v>584</v>
      </c>
    </row>
    <row r="44" spans="1:11" ht="18.75" customHeight="1">
      <c r="A44" s="650" t="s">
        <v>585</v>
      </c>
      <c r="B44" s="679" t="s">
        <v>464</v>
      </c>
      <c r="C44" s="677" t="s">
        <v>464</v>
      </c>
      <c r="D44" s="680" t="s">
        <v>464</v>
      </c>
      <c r="E44" s="679" t="s">
        <v>464</v>
      </c>
      <c r="F44" s="677" t="s">
        <v>464</v>
      </c>
      <c r="G44" s="1848" t="s">
        <v>464</v>
      </c>
      <c r="H44" s="679" t="s">
        <v>464</v>
      </c>
      <c r="I44" s="677" t="s">
        <v>464</v>
      </c>
      <c r="J44" s="680" t="s">
        <v>464</v>
      </c>
      <c r="K44" s="654" t="s">
        <v>585</v>
      </c>
    </row>
    <row r="45" spans="1:11" ht="18.75" customHeight="1">
      <c r="A45" s="650"/>
      <c r="B45" s="984"/>
      <c r="C45" s="641"/>
      <c r="D45" s="656"/>
      <c r="E45" s="984"/>
      <c r="F45" s="641"/>
      <c r="G45" s="656"/>
      <c r="H45" s="984"/>
      <c r="I45" s="641"/>
      <c r="J45" s="656"/>
      <c r="K45" s="654"/>
    </row>
    <row r="46" spans="1:11" ht="18.75" customHeight="1">
      <c r="A46" s="657" t="s">
        <v>588</v>
      </c>
      <c r="B46" s="1852">
        <f>SUM(B47:B51)</f>
        <v>16</v>
      </c>
      <c r="C46" s="659">
        <f>(D46*1000)/B46</f>
        <v>2187.5</v>
      </c>
      <c r="D46" s="660">
        <f>SUM(D47:D51)</f>
        <v>35</v>
      </c>
      <c r="E46" s="1852">
        <f>SUM(E47:E51)</f>
        <v>5</v>
      </c>
      <c r="F46" s="659">
        <f>(G46*1000)/E46</f>
        <v>2700</v>
      </c>
      <c r="G46" s="1219">
        <f>SUM(G47:G51)</f>
        <v>13.5</v>
      </c>
      <c r="H46" s="651">
        <f>SUM(H47:H51)</f>
        <v>35</v>
      </c>
      <c r="I46" s="659">
        <f>(J46*1000)/H46</f>
        <v>2442.8571428571427</v>
      </c>
      <c r="J46" s="2763">
        <f>SUM(J47:J51)</f>
        <v>85.5</v>
      </c>
      <c r="K46" s="661" t="s">
        <v>589</v>
      </c>
    </row>
    <row r="47" spans="1:11" ht="18.75" customHeight="1">
      <c r="A47" s="650" t="s">
        <v>590</v>
      </c>
      <c r="B47" s="679">
        <v>7</v>
      </c>
      <c r="C47" s="641">
        <f>(D47*1000)/B47</f>
        <v>2142.8571428571427</v>
      </c>
      <c r="D47" s="680">
        <v>15</v>
      </c>
      <c r="E47" s="679" t="s">
        <v>464</v>
      </c>
      <c r="F47" s="677" t="s">
        <v>464</v>
      </c>
      <c r="G47" s="680" t="s">
        <v>464</v>
      </c>
      <c r="H47" s="679" t="s">
        <v>464</v>
      </c>
      <c r="I47" s="677" t="s">
        <v>464</v>
      </c>
      <c r="J47" s="1848" t="s">
        <v>464</v>
      </c>
      <c r="K47" s="654" t="s">
        <v>591</v>
      </c>
    </row>
    <row r="48" spans="1:11" s="190" customFormat="1" ht="18.75" customHeight="1">
      <c r="A48" s="650" t="s">
        <v>592</v>
      </c>
      <c r="B48" s="984">
        <v>6</v>
      </c>
      <c r="C48" s="641">
        <f>(D48*1000)/B48</f>
        <v>2166.6666666666665</v>
      </c>
      <c r="D48" s="656">
        <v>13</v>
      </c>
      <c r="E48" s="984">
        <v>4</v>
      </c>
      <c r="F48" s="641">
        <f>(G48*1000)/E48</f>
        <v>2750</v>
      </c>
      <c r="G48" s="656">
        <v>11</v>
      </c>
      <c r="H48" s="679">
        <v>2</v>
      </c>
      <c r="I48" s="641">
        <f>(J48*1000)/H48</f>
        <v>2750</v>
      </c>
      <c r="J48" s="1848">
        <v>5.5</v>
      </c>
      <c r="K48" s="654" t="s">
        <v>593</v>
      </c>
    </row>
    <row r="49" spans="1:11" ht="18.75" customHeight="1">
      <c r="A49" s="650" t="s">
        <v>594</v>
      </c>
      <c r="B49" s="679">
        <v>3</v>
      </c>
      <c r="C49" s="641">
        <f>(D49*1000)/B49</f>
        <v>2333.3333333333335</v>
      </c>
      <c r="D49" s="680">
        <v>7</v>
      </c>
      <c r="E49" s="679">
        <v>1</v>
      </c>
      <c r="F49" s="641">
        <f>(G49*1000)/E49</f>
        <v>2500</v>
      </c>
      <c r="G49" s="1848">
        <v>2.5</v>
      </c>
      <c r="H49" s="679">
        <v>3</v>
      </c>
      <c r="I49" s="641">
        <f>(J49*1000)/H49</f>
        <v>2333.3333333333335</v>
      </c>
      <c r="J49" s="680">
        <v>7</v>
      </c>
      <c r="K49" s="654" t="s">
        <v>594</v>
      </c>
    </row>
    <row r="50" spans="1:11" ht="18.75" customHeight="1">
      <c r="A50" s="650" t="s">
        <v>599</v>
      </c>
      <c r="B50" s="679" t="s">
        <v>464</v>
      </c>
      <c r="C50" s="677" t="s">
        <v>464</v>
      </c>
      <c r="D50" s="680" t="s">
        <v>464</v>
      </c>
      <c r="E50" s="679" t="s">
        <v>464</v>
      </c>
      <c r="F50" s="677" t="s">
        <v>464</v>
      </c>
      <c r="G50" s="680" t="s">
        <v>464</v>
      </c>
      <c r="H50" s="679">
        <v>30</v>
      </c>
      <c r="I50" s="641">
        <f>(J50*1000)/H50</f>
        <v>2433.3333333333335</v>
      </c>
      <c r="J50" s="680">
        <v>73</v>
      </c>
      <c r="K50" s="654" t="s">
        <v>599</v>
      </c>
    </row>
    <row r="51" spans="1:11" ht="18.75" customHeight="1">
      <c r="A51" s="650" t="s">
        <v>598</v>
      </c>
      <c r="B51" s="679" t="s">
        <v>464</v>
      </c>
      <c r="C51" s="677" t="s">
        <v>464</v>
      </c>
      <c r="D51" s="680" t="s">
        <v>464</v>
      </c>
      <c r="E51" s="679" t="s">
        <v>464</v>
      </c>
      <c r="F51" s="677" t="s">
        <v>464</v>
      </c>
      <c r="G51" s="680" t="s">
        <v>464</v>
      </c>
      <c r="H51" s="679" t="s">
        <v>464</v>
      </c>
      <c r="I51" s="677" t="s">
        <v>464</v>
      </c>
      <c r="J51" s="680" t="s">
        <v>464</v>
      </c>
      <c r="K51" s="654" t="s">
        <v>598</v>
      </c>
    </row>
    <row r="52" spans="1:11" ht="18.75" customHeight="1">
      <c r="A52" s="662"/>
      <c r="B52" s="1106"/>
      <c r="C52" s="1048"/>
      <c r="D52" s="1853"/>
      <c r="E52" s="1106"/>
      <c r="F52" s="1048"/>
      <c r="G52" s="1853"/>
      <c r="H52" s="1106"/>
      <c r="I52" s="1048"/>
      <c r="J52" s="1853"/>
      <c r="K52" s="654"/>
    </row>
    <row r="53" spans="1:11" ht="18.75" customHeight="1">
      <c r="A53" s="657" t="s">
        <v>601</v>
      </c>
      <c r="B53" s="1852">
        <f>SUM(B54:B57)</f>
        <v>17</v>
      </c>
      <c r="C53" s="659">
        <f>(D53*1000)/B53</f>
        <v>1705.8823529411766</v>
      </c>
      <c r="D53" s="660">
        <f>SUM(D54:D57)</f>
        <v>29</v>
      </c>
      <c r="E53" s="1852">
        <f>SUM(E54:E57)</f>
        <v>48</v>
      </c>
      <c r="F53" s="659">
        <f>(G53*1000)/E53</f>
        <v>2604.1666666666665</v>
      </c>
      <c r="G53" s="660">
        <f>SUM(G54:G57)</f>
        <v>125</v>
      </c>
      <c r="H53" s="1852">
        <f>SUM(H54:H57)</f>
        <v>25</v>
      </c>
      <c r="I53" s="659">
        <f>(J53*1000)/H53</f>
        <v>2640</v>
      </c>
      <c r="J53" s="660">
        <f>SUM(J54:J57)</f>
        <v>66</v>
      </c>
      <c r="K53" s="661" t="s">
        <v>602</v>
      </c>
    </row>
    <row r="54" spans="1:11" ht="18.75" customHeight="1">
      <c r="A54" s="650" t="s">
        <v>603</v>
      </c>
      <c r="B54" s="679" t="s">
        <v>464</v>
      </c>
      <c r="C54" s="677" t="s">
        <v>464</v>
      </c>
      <c r="D54" s="680" t="s">
        <v>464</v>
      </c>
      <c r="E54" s="679" t="s">
        <v>464</v>
      </c>
      <c r="F54" s="677" t="s">
        <v>464</v>
      </c>
      <c r="G54" s="680" t="s">
        <v>464</v>
      </c>
      <c r="H54" s="679" t="s">
        <v>464</v>
      </c>
      <c r="I54" s="677" t="s">
        <v>464</v>
      </c>
      <c r="J54" s="680" t="s">
        <v>464</v>
      </c>
      <c r="K54" s="654" t="s">
        <v>604</v>
      </c>
    </row>
    <row r="55" spans="1:11" ht="18.75" customHeight="1">
      <c r="A55" s="650" t="s">
        <v>605</v>
      </c>
      <c r="B55" s="679" t="s">
        <v>464</v>
      </c>
      <c r="C55" s="677" t="s">
        <v>464</v>
      </c>
      <c r="D55" s="680" t="s">
        <v>464</v>
      </c>
      <c r="E55" s="679" t="s">
        <v>464</v>
      </c>
      <c r="F55" s="677" t="s">
        <v>464</v>
      </c>
      <c r="G55" s="680" t="s">
        <v>464</v>
      </c>
      <c r="H55" s="679" t="s">
        <v>464</v>
      </c>
      <c r="I55" s="677" t="s">
        <v>464</v>
      </c>
      <c r="J55" s="680" t="s">
        <v>464</v>
      </c>
      <c r="K55" s="654" t="s">
        <v>606</v>
      </c>
    </row>
    <row r="56" spans="1:11" ht="18.75" customHeight="1">
      <c r="A56" s="650" t="s">
        <v>607</v>
      </c>
      <c r="B56" s="679" t="s">
        <v>464</v>
      </c>
      <c r="C56" s="677" t="s">
        <v>464</v>
      </c>
      <c r="D56" s="680" t="s">
        <v>464</v>
      </c>
      <c r="E56" s="679" t="s">
        <v>464</v>
      </c>
      <c r="F56" s="677" t="s">
        <v>464</v>
      </c>
      <c r="G56" s="680" t="s">
        <v>464</v>
      </c>
      <c r="H56" s="679" t="s">
        <v>464</v>
      </c>
      <c r="I56" s="677" t="s">
        <v>464</v>
      </c>
      <c r="J56" s="680" t="s">
        <v>464</v>
      </c>
      <c r="K56" s="654" t="s">
        <v>607</v>
      </c>
    </row>
    <row r="57" spans="1:11" ht="18.75" customHeight="1">
      <c r="A57" s="650" t="s">
        <v>608</v>
      </c>
      <c r="B57" s="984">
        <v>17</v>
      </c>
      <c r="C57" s="641">
        <f>(D57*1000)/B57</f>
        <v>1705.8823529411766</v>
      </c>
      <c r="D57" s="656">
        <v>29</v>
      </c>
      <c r="E57" s="984">
        <v>48</v>
      </c>
      <c r="F57" s="641">
        <f>(G57*1000)/E57</f>
        <v>2604.1666666666665</v>
      </c>
      <c r="G57" s="656">
        <v>125</v>
      </c>
      <c r="H57" s="984">
        <v>25</v>
      </c>
      <c r="I57" s="641">
        <f>(J57*1000)/H57</f>
        <v>2640</v>
      </c>
      <c r="J57" s="656">
        <v>66</v>
      </c>
      <c r="K57" s="654" t="s">
        <v>608</v>
      </c>
    </row>
    <row r="58" spans="1:11" s="190" customFormat="1" ht="18.75" customHeight="1">
      <c r="A58" s="666"/>
      <c r="B58" s="1101"/>
      <c r="C58" s="1100"/>
      <c r="D58" s="1854"/>
      <c r="E58" s="1101"/>
      <c r="F58" s="1100"/>
      <c r="G58" s="1854"/>
      <c r="H58" s="1101"/>
      <c r="I58" s="1100"/>
      <c r="J58" s="1854"/>
      <c r="K58" s="670"/>
    </row>
    <row r="59" spans="1:11" ht="18.75" customHeight="1">
      <c r="A59" s="666" t="s">
        <v>1286</v>
      </c>
      <c r="B59" s="1101">
        <f>SUM(B60:B61)</f>
        <v>101</v>
      </c>
      <c r="C59" s="659">
        <f>(D59*1000)/B59</f>
        <v>1732.6732673267327</v>
      </c>
      <c r="D59" s="1854">
        <f>SUM(D60:D61)</f>
        <v>175</v>
      </c>
      <c r="E59" s="1101">
        <f>SUM(E60:E61)</f>
        <v>168</v>
      </c>
      <c r="F59" s="659">
        <f>(G59*1000)/E59</f>
        <v>2529.7619047619046</v>
      </c>
      <c r="G59" s="1854">
        <f>SUM(G60:G61)</f>
        <v>425</v>
      </c>
      <c r="H59" s="1101">
        <f>SUM(H60:H61)</f>
        <v>94</v>
      </c>
      <c r="I59" s="659">
        <f>(J59*1000)/H59</f>
        <v>2446.808510638298</v>
      </c>
      <c r="J59" s="1854">
        <f>SUM(J60:J61)</f>
        <v>230</v>
      </c>
      <c r="K59" s="661" t="s">
        <v>1286</v>
      </c>
    </row>
    <row r="60" spans="1:11" ht="18.75" customHeight="1">
      <c r="A60" s="662" t="s">
        <v>586</v>
      </c>
      <c r="B60" s="1106">
        <v>31</v>
      </c>
      <c r="C60" s="641">
        <f>(D60*1000)/B60</f>
        <v>1741.9354838709678</v>
      </c>
      <c r="D60" s="1853">
        <v>54</v>
      </c>
      <c r="E60" s="1106">
        <v>42</v>
      </c>
      <c r="F60" s="641">
        <f>(G60*1000)/E60</f>
        <v>2119.0476190476193</v>
      </c>
      <c r="G60" s="1853">
        <v>89</v>
      </c>
      <c r="H60" s="1106">
        <v>35</v>
      </c>
      <c r="I60" s="641">
        <f>(J60*1000)/H60</f>
        <v>2428.5714285714284</v>
      </c>
      <c r="J60" s="1853">
        <v>85</v>
      </c>
      <c r="K60" s="654" t="s">
        <v>586</v>
      </c>
    </row>
    <row r="61" spans="1:11" ht="18.75" customHeight="1">
      <c r="A61" s="662" t="s">
        <v>587</v>
      </c>
      <c r="B61" s="1106">
        <v>70</v>
      </c>
      <c r="C61" s="641">
        <f>(D61*1000)/B61</f>
        <v>1728.5714285714287</v>
      </c>
      <c r="D61" s="1853">
        <v>121</v>
      </c>
      <c r="E61" s="1106">
        <v>126</v>
      </c>
      <c r="F61" s="641">
        <f>(G61*1000)/E61</f>
        <v>2666.6666666666665</v>
      </c>
      <c r="G61" s="1853">
        <v>336</v>
      </c>
      <c r="H61" s="1106">
        <v>59</v>
      </c>
      <c r="I61" s="641">
        <f>(J61*1000)/H61</f>
        <v>2457.6271186440677</v>
      </c>
      <c r="J61" s="1853">
        <v>145</v>
      </c>
      <c r="K61" s="654" t="s">
        <v>587</v>
      </c>
    </row>
    <row r="62" spans="1:11" ht="18.75" customHeight="1">
      <c r="A62" s="662"/>
      <c r="B62" s="1106"/>
      <c r="C62" s="1048"/>
      <c r="D62" s="1853"/>
      <c r="E62" s="1106"/>
      <c r="F62" s="1048"/>
      <c r="G62" s="1853"/>
      <c r="H62" s="1106"/>
      <c r="I62" s="1048"/>
      <c r="J62" s="1853"/>
      <c r="K62" s="654"/>
    </row>
    <row r="63" spans="1:11" ht="18.75" customHeight="1">
      <c r="A63" s="666" t="s">
        <v>1287</v>
      </c>
      <c r="B63" s="1101">
        <f>SUM(B64:B66)</f>
        <v>1</v>
      </c>
      <c r="C63" s="659">
        <f>(D63*1000)/B63</f>
        <v>2000</v>
      </c>
      <c r="D63" s="1854">
        <f>SUM(D64:D66)</f>
        <v>2</v>
      </c>
      <c r="E63" s="1101">
        <f>SUM(E64:E66)</f>
        <v>1</v>
      </c>
      <c r="F63" s="659">
        <f>(G63*1000)/E63</f>
        <v>3000</v>
      </c>
      <c r="G63" s="1854">
        <f>SUM(G64:G66)</f>
        <v>3</v>
      </c>
      <c r="H63" s="1101">
        <f>SUM(H64:H66)</f>
        <v>1</v>
      </c>
      <c r="I63" s="659">
        <f>(J63*1000)/H63</f>
        <v>2500</v>
      </c>
      <c r="J63" s="1854">
        <f>SUM(J64:J66)</f>
        <v>2.5</v>
      </c>
      <c r="K63" s="661" t="s">
        <v>1287</v>
      </c>
    </row>
    <row r="64" spans="1:11" ht="18.75" customHeight="1">
      <c r="A64" s="662" t="s">
        <v>1273</v>
      </c>
      <c r="B64" s="679" t="s">
        <v>464</v>
      </c>
      <c r="C64" s="677" t="s">
        <v>464</v>
      </c>
      <c r="D64" s="680" t="s">
        <v>464</v>
      </c>
      <c r="E64" s="679" t="s">
        <v>464</v>
      </c>
      <c r="F64" s="677" t="s">
        <v>464</v>
      </c>
      <c r="G64" s="680" t="s">
        <v>464</v>
      </c>
      <c r="H64" s="679">
        <v>1</v>
      </c>
      <c r="I64" s="641">
        <f>(J64*1000)/H64</f>
        <v>2500</v>
      </c>
      <c r="J64" s="1848">
        <v>2.5</v>
      </c>
      <c r="K64" s="654" t="s">
        <v>1273</v>
      </c>
    </row>
    <row r="65" spans="1:11" ht="18.75" customHeight="1">
      <c r="A65" s="662" t="s">
        <v>596</v>
      </c>
      <c r="B65" s="1106">
        <v>1</v>
      </c>
      <c r="C65" s="641">
        <f>(D65*1000)/B65</f>
        <v>2000</v>
      </c>
      <c r="D65" s="1853">
        <v>2</v>
      </c>
      <c r="E65" s="1106">
        <v>1</v>
      </c>
      <c r="F65" s="641">
        <f>(G65*1000)/E65</f>
        <v>3000</v>
      </c>
      <c r="G65" s="1853">
        <v>3</v>
      </c>
      <c r="H65" s="679" t="s">
        <v>464</v>
      </c>
      <c r="I65" s="677" t="s">
        <v>464</v>
      </c>
      <c r="J65" s="680" t="s">
        <v>464</v>
      </c>
      <c r="K65" s="654" t="s">
        <v>596</v>
      </c>
    </row>
    <row r="66" spans="1:11" ht="18.75" customHeight="1" thickBot="1">
      <c r="A66" s="671" t="s">
        <v>595</v>
      </c>
      <c r="B66" s="1051" t="s">
        <v>464</v>
      </c>
      <c r="C66" s="1052" t="s">
        <v>464</v>
      </c>
      <c r="D66" s="1053" t="s">
        <v>464</v>
      </c>
      <c r="E66" s="1051" t="s">
        <v>464</v>
      </c>
      <c r="F66" s="1052" t="s">
        <v>464</v>
      </c>
      <c r="G66" s="1053" t="s">
        <v>464</v>
      </c>
      <c r="H66" s="1051" t="s">
        <v>464</v>
      </c>
      <c r="I66" s="1052" t="s">
        <v>464</v>
      </c>
      <c r="J66" s="1053" t="s">
        <v>464</v>
      </c>
      <c r="K66" s="674" t="s">
        <v>595</v>
      </c>
    </row>
  </sheetData>
  <sheetProtection/>
  <mergeCells count="6">
    <mergeCell ref="B3:D3"/>
    <mergeCell ref="E3:G3"/>
    <mergeCell ref="H3:J3"/>
    <mergeCell ref="B36:D36"/>
    <mergeCell ref="E36:G36"/>
    <mergeCell ref="H36:J36"/>
  </mergeCells>
  <printOptions/>
  <pageMargins left="0.7874015748031497" right="0.984251968503937" top="0.984251968503937" bottom="0.984251968503937" header="0.5118110236220472" footer="0.5118110236220472"/>
  <pageSetup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zoomScale="60" zoomScaleNormal="60" zoomScalePageLayoutView="0" workbookViewId="0" topLeftCell="A41">
      <selection activeCell="Q64" sqref="Q64"/>
    </sheetView>
  </sheetViews>
  <sheetFormatPr defaultColWidth="9.140625" defaultRowHeight="12.75"/>
  <cols>
    <col min="1" max="1" width="22.00390625" style="23" customWidth="1"/>
    <col min="2" max="2" width="9.7109375" style="23" customWidth="1"/>
    <col min="3" max="3" width="14.8515625" style="10" customWidth="1"/>
    <col min="4" max="5" width="9.7109375" style="23" customWidth="1"/>
    <col min="6" max="6" width="11.8515625" style="10" customWidth="1"/>
    <col min="7" max="8" width="9.7109375" style="23" customWidth="1"/>
    <col min="9" max="9" width="9.7109375" style="10" customWidth="1"/>
    <col min="10" max="11" width="9.7109375" style="23" customWidth="1"/>
    <col min="12" max="12" width="9.7109375" style="10" customWidth="1"/>
    <col min="13" max="13" width="9.7109375" style="23" customWidth="1"/>
    <col min="14" max="14" width="22.421875" style="13" customWidth="1"/>
    <col min="15" max="16384" width="9.140625" style="23" customWidth="1"/>
  </cols>
  <sheetData>
    <row r="1" spans="1:14" s="583" customFormat="1" ht="24" customHeight="1">
      <c r="A1" s="1054" t="s">
        <v>633</v>
      </c>
      <c r="C1" s="11"/>
      <c r="F1" s="11"/>
      <c r="I1" s="11"/>
      <c r="L1" s="11"/>
      <c r="N1" s="584"/>
    </row>
    <row r="2" spans="1:14" ht="24" customHeight="1" thickBot="1">
      <c r="A2" s="583"/>
      <c r="B2" s="583"/>
      <c r="C2" s="11"/>
      <c r="D2" s="583"/>
      <c r="E2" s="583"/>
      <c r="F2" s="11"/>
      <c r="G2" s="583"/>
      <c r="H2" s="583"/>
      <c r="I2" s="11"/>
      <c r="J2" s="583"/>
      <c r="K2" s="583"/>
      <c r="L2" s="11"/>
      <c r="M2" s="583"/>
      <c r="N2" s="584"/>
    </row>
    <row r="3" spans="1:14" ht="54" customHeight="1" thickBot="1">
      <c r="A3" s="1055"/>
      <c r="B3" s="2878" t="s">
        <v>1480</v>
      </c>
      <c r="C3" s="2879"/>
      <c r="D3" s="2880"/>
      <c r="E3" s="2878" t="s">
        <v>645</v>
      </c>
      <c r="F3" s="2879"/>
      <c r="G3" s="2880"/>
      <c r="H3" s="2878" t="s">
        <v>1264</v>
      </c>
      <c r="I3" s="2879"/>
      <c r="J3" s="2880"/>
      <c r="K3" s="2878" t="s">
        <v>646</v>
      </c>
      <c r="L3" s="2879"/>
      <c r="M3" s="2879"/>
      <c r="N3" s="1056"/>
    </row>
    <row r="4" spans="1:14" ht="26.25" customHeight="1">
      <c r="A4" s="1057" t="s">
        <v>566</v>
      </c>
      <c r="B4" s="1058" t="s">
        <v>567</v>
      </c>
      <c r="C4" s="592" t="s">
        <v>568</v>
      </c>
      <c r="D4" s="1058" t="s">
        <v>569</v>
      </c>
      <c r="E4" s="1058" t="s">
        <v>567</v>
      </c>
      <c r="F4" s="592" t="s">
        <v>568</v>
      </c>
      <c r="G4" s="1058" t="s">
        <v>569</v>
      </c>
      <c r="H4" s="1058" t="s">
        <v>567</v>
      </c>
      <c r="I4" s="592" t="s">
        <v>568</v>
      </c>
      <c r="J4" s="1058" t="s">
        <v>569</v>
      </c>
      <c r="K4" s="1058" t="s">
        <v>567</v>
      </c>
      <c r="L4" s="592" t="s">
        <v>568</v>
      </c>
      <c r="M4" s="1058" t="s">
        <v>569</v>
      </c>
      <c r="N4" s="1059" t="s">
        <v>570</v>
      </c>
    </row>
    <row r="5" spans="1:14" ht="26.25" customHeight="1">
      <c r="A5" s="1057" t="s">
        <v>571</v>
      </c>
      <c r="B5" s="1060" t="s">
        <v>572</v>
      </c>
      <c r="C5" s="593" t="s">
        <v>573</v>
      </c>
      <c r="D5" s="1060" t="s">
        <v>1406</v>
      </c>
      <c r="E5" s="1060" t="s">
        <v>572</v>
      </c>
      <c r="F5" s="593" t="s">
        <v>573</v>
      </c>
      <c r="G5" s="1060" t="s">
        <v>1406</v>
      </c>
      <c r="H5" s="1060" t="s">
        <v>572</v>
      </c>
      <c r="I5" s="593" t="s">
        <v>573</v>
      </c>
      <c r="J5" s="1060" t="s">
        <v>1406</v>
      </c>
      <c r="K5" s="1060" t="s">
        <v>572</v>
      </c>
      <c r="L5" s="593" t="s">
        <v>573</v>
      </c>
      <c r="M5" s="1060" t="s">
        <v>1406</v>
      </c>
      <c r="N5" s="1059" t="s">
        <v>575</v>
      </c>
    </row>
    <row r="6" spans="1:14" ht="26.25" customHeight="1" thickBot="1">
      <c r="A6" s="1061"/>
      <c r="B6" s="1062" t="s">
        <v>1280</v>
      </c>
      <c r="C6" s="594" t="s">
        <v>576</v>
      </c>
      <c r="D6" s="1062" t="s">
        <v>577</v>
      </c>
      <c r="E6" s="1062" t="s">
        <v>1280</v>
      </c>
      <c r="F6" s="594" t="s">
        <v>576</v>
      </c>
      <c r="G6" s="1062" t="s">
        <v>577</v>
      </c>
      <c r="H6" s="1062" t="s">
        <v>1280</v>
      </c>
      <c r="I6" s="594" t="s">
        <v>576</v>
      </c>
      <c r="J6" s="1062" t="s">
        <v>577</v>
      </c>
      <c r="K6" s="1062" t="s">
        <v>1280</v>
      </c>
      <c r="L6" s="594" t="s">
        <v>576</v>
      </c>
      <c r="M6" s="1062" t="s">
        <v>577</v>
      </c>
      <c r="N6" s="1063"/>
    </row>
    <row r="7" spans="1:14" s="12" customFormat="1" ht="30" customHeight="1" thickBot="1">
      <c r="A7" s="1064" t="s">
        <v>578</v>
      </c>
      <c r="B7" s="590">
        <f>SUM(B8+B13+B20+B26+B30)</f>
        <v>734</v>
      </c>
      <c r="C7" s="596">
        <f>(D7*1000)/B7</f>
        <v>3444.141689373297</v>
      </c>
      <c r="D7" s="588">
        <f>SUM(D8+D13+D20+D26+D30)</f>
        <v>2528</v>
      </c>
      <c r="E7" s="590">
        <f>SUM(E20+E30+E13)</f>
        <v>232</v>
      </c>
      <c r="F7" s="596">
        <f>(G7*1000)/E7</f>
        <v>2293.103448275862</v>
      </c>
      <c r="G7" s="588">
        <f>SUM(G20+G30+G13)</f>
        <v>532</v>
      </c>
      <c r="H7" s="590">
        <f>SUM(H8+H13+H20+H26+H30)</f>
        <v>1362</v>
      </c>
      <c r="I7" s="596">
        <f>(J7*1000)/H7</f>
        <v>3857.562408223201</v>
      </c>
      <c r="J7" s="588">
        <f>SUM(J8+J13+J20+J26+J30)</f>
        <v>5254</v>
      </c>
      <c r="K7" s="2210">
        <f>SUM(K13)</f>
        <v>307</v>
      </c>
      <c r="L7" s="596">
        <f>(M7*1000)/K7</f>
        <v>2817.5895765472314</v>
      </c>
      <c r="M7" s="2211">
        <f>SUM(M13)</f>
        <v>865</v>
      </c>
      <c r="N7" s="1065" t="s">
        <v>579</v>
      </c>
    </row>
    <row r="8" spans="1:14" s="12" customFormat="1" ht="21.75" customHeight="1">
      <c r="A8" s="598" t="s">
        <v>580</v>
      </c>
      <c r="B8" s="602">
        <f>SUM(B9:B11)</f>
        <v>277</v>
      </c>
      <c r="C8" s="597">
        <f>(D8*1000)/B8</f>
        <v>3628.158844765343</v>
      </c>
      <c r="D8" s="603">
        <f>SUM(D9:D11)</f>
        <v>1005</v>
      </c>
      <c r="E8" s="1066" t="s">
        <v>464</v>
      </c>
      <c r="F8" s="1067" t="s">
        <v>464</v>
      </c>
      <c r="G8" s="1068" t="s">
        <v>464</v>
      </c>
      <c r="H8" s="602">
        <f>SUM(H9:H11)</f>
        <v>232</v>
      </c>
      <c r="I8" s="597">
        <f>(J8*1000)/H8</f>
        <v>3685.344827586207</v>
      </c>
      <c r="J8" s="603">
        <f>SUM(J9:J11)</f>
        <v>855</v>
      </c>
      <c r="K8" s="1861" t="s">
        <v>464</v>
      </c>
      <c r="L8" s="1112" t="s">
        <v>464</v>
      </c>
      <c r="M8" s="1862" t="s">
        <v>464</v>
      </c>
      <c r="N8" s="604" t="s">
        <v>581</v>
      </c>
    </row>
    <row r="9" spans="1:14" ht="20.25" customHeight="1">
      <c r="A9" s="605" t="s">
        <v>582</v>
      </c>
      <c r="B9" s="607">
        <v>202</v>
      </c>
      <c r="C9" s="74">
        <f>(D9*1000)/B9</f>
        <v>3787.128712871287</v>
      </c>
      <c r="D9" s="608">
        <v>765</v>
      </c>
      <c r="E9" s="1066" t="s">
        <v>464</v>
      </c>
      <c r="F9" s="1067" t="s">
        <v>464</v>
      </c>
      <c r="G9" s="1068" t="s">
        <v>464</v>
      </c>
      <c r="H9" s="607">
        <v>112</v>
      </c>
      <c r="I9" s="74">
        <f>(J9*1000)/H9</f>
        <v>3750</v>
      </c>
      <c r="J9" s="608">
        <v>420</v>
      </c>
      <c r="K9" s="1066" t="s">
        <v>464</v>
      </c>
      <c r="L9" s="1067" t="s">
        <v>464</v>
      </c>
      <c r="M9" s="1068" t="s">
        <v>464</v>
      </c>
      <c r="N9" s="606" t="s">
        <v>583</v>
      </c>
    </row>
    <row r="10" spans="1:14" ht="20.25" customHeight="1">
      <c r="A10" s="605" t="s">
        <v>584</v>
      </c>
      <c r="B10" s="1855">
        <v>20</v>
      </c>
      <c r="C10" s="74">
        <f>(D10*1000)/B10</f>
        <v>3250</v>
      </c>
      <c r="D10" s="1856">
        <v>65</v>
      </c>
      <c r="E10" s="1066" t="s">
        <v>464</v>
      </c>
      <c r="F10" s="1067" t="s">
        <v>464</v>
      </c>
      <c r="G10" s="1068" t="s">
        <v>464</v>
      </c>
      <c r="H10" s="1855">
        <v>25</v>
      </c>
      <c r="I10" s="74">
        <f>(J10*1000)/H10</f>
        <v>3400</v>
      </c>
      <c r="J10" s="1856">
        <v>85</v>
      </c>
      <c r="K10" s="1855" t="s">
        <v>464</v>
      </c>
      <c r="L10" s="1067" t="s">
        <v>464</v>
      </c>
      <c r="M10" s="1068" t="s">
        <v>464</v>
      </c>
      <c r="N10" s="606" t="s">
        <v>584</v>
      </c>
    </row>
    <row r="11" spans="1:14" ht="20.25" customHeight="1">
      <c r="A11" s="605" t="s">
        <v>585</v>
      </c>
      <c r="B11" s="607">
        <v>55</v>
      </c>
      <c r="C11" s="74">
        <f>(D11*1000)/B11</f>
        <v>3181.818181818182</v>
      </c>
      <c r="D11" s="608">
        <v>175</v>
      </c>
      <c r="E11" s="1066" t="s">
        <v>464</v>
      </c>
      <c r="F11" s="1067" t="s">
        <v>464</v>
      </c>
      <c r="G11" s="1068" t="s">
        <v>464</v>
      </c>
      <c r="H11" s="607">
        <v>95</v>
      </c>
      <c r="I11" s="74">
        <f>(J11*1000)/H11</f>
        <v>3684.2105263157896</v>
      </c>
      <c r="J11" s="608">
        <v>350</v>
      </c>
      <c r="K11" s="1066" t="s">
        <v>464</v>
      </c>
      <c r="L11" s="1067" t="s">
        <v>464</v>
      </c>
      <c r="M11" s="1068" t="s">
        <v>464</v>
      </c>
      <c r="N11" s="606" t="s">
        <v>585</v>
      </c>
    </row>
    <row r="12" spans="1:14" ht="18" customHeight="1">
      <c r="A12" s="605"/>
      <c r="B12" s="609"/>
      <c r="C12" s="74"/>
      <c r="D12" s="610"/>
      <c r="E12" s="609"/>
      <c r="F12" s="74"/>
      <c r="G12" s="610"/>
      <c r="H12" s="609"/>
      <c r="I12" s="74"/>
      <c r="J12" s="610"/>
      <c r="K12" s="609"/>
      <c r="L12" s="74"/>
      <c r="M12" s="610"/>
      <c r="N12" s="606"/>
    </row>
    <row r="13" spans="1:14" ht="19.5" customHeight="1">
      <c r="A13" s="611" t="s">
        <v>588</v>
      </c>
      <c r="B13" s="599">
        <f>SUM(B14:B18)</f>
        <v>130</v>
      </c>
      <c r="C13" s="600">
        <f>(D13*1000)/B13</f>
        <v>3730.769230769231</v>
      </c>
      <c r="D13" s="601">
        <f>SUM(D14:D18)</f>
        <v>485</v>
      </c>
      <c r="E13" s="1066">
        <f>SUM(E14:E18)</f>
        <v>58</v>
      </c>
      <c r="F13" s="600">
        <f>(G13*1000)/E13</f>
        <v>2637.9310344827586</v>
      </c>
      <c r="G13" s="1068">
        <f>SUM(G14:G18)</f>
        <v>153</v>
      </c>
      <c r="H13" s="599">
        <f>SUM(H14:H18)</f>
        <v>388</v>
      </c>
      <c r="I13" s="600">
        <f>(J13*1000)/H13</f>
        <v>4056.701030927835</v>
      </c>
      <c r="J13" s="601">
        <f>SUM(J14:J18)</f>
        <v>1574</v>
      </c>
      <c r="K13" s="1066">
        <f>SUM(K14:K18)</f>
        <v>307</v>
      </c>
      <c r="L13" s="600">
        <f>(M13*1000)/K13</f>
        <v>2817.5895765472314</v>
      </c>
      <c r="M13" s="1068">
        <f>SUM(M14:M18)</f>
        <v>865</v>
      </c>
      <c r="N13" s="612" t="s">
        <v>589</v>
      </c>
    </row>
    <row r="14" spans="1:14" ht="18" customHeight="1">
      <c r="A14" s="605" t="s">
        <v>590</v>
      </c>
      <c r="B14" s="609">
        <v>40</v>
      </c>
      <c r="C14" s="74">
        <f>(D14*1000)/B14</f>
        <v>3625</v>
      </c>
      <c r="D14" s="610">
        <v>145</v>
      </c>
      <c r="E14" s="1066" t="s">
        <v>464</v>
      </c>
      <c r="F14" s="1067" t="s">
        <v>464</v>
      </c>
      <c r="G14" s="1068" t="s">
        <v>464</v>
      </c>
      <c r="H14" s="609">
        <v>32</v>
      </c>
      <c r="I14" s="74">
        <f>(J14*1000)/H14</f>
        <v>3718.75</v>
      </c>
      <c r="J14" s="610">
        <v>119</v>
      </c>
      <c r="K14" s="1066" t="s">
        <v>464</v>
      </c>
      <c r="L14" s="1067" t="s">
        <v>464</v>
      </c>
      <c r="M14" s="1068" t="s">
        <v>464</v>
      </c>
      <c r="N14" s="606" t="s">
        <v>591</v>
      </c>
    </row>
    <row r="15" spans="1:14" s="12" customFormat="1" ht="18" customHeight="1">
      <c r="A15" s="605" t="s">
        <v>592</v>
      </c>
      <c r="B15" s="1066" t="s">
        <v>464</v>
      </c>
      <c r="C15" s="1071" t="s">
        <v>464</v>
      </c>
      <c r="D15" s="1068" t="s">
        <v>464</v>
      </c>
      <c r="E15" s="1066" t="s">
        <v>464</v>
      </c>
      <c r="F15" s="1067" t="s">
        <v>464</v>
      </c>
      <c r="G15" s="1068" t="s">
        <v>464</v>
      </c>
      <c r="H15" s="1069" t="s">
        <v>464</v>
      </c>
      <c r="I15" s="1071" t="s">
        <v>464</v>
      </c>
      <c r="J15" s="1067" t="s">
        <v>464</v>
      </c>
      <c r="K15" s="1066" t="s">
        <v>464</v>
      </c>
      <c r="L15" s="1067" t="s">
        <v>464</v>
      </c>
      <c r="M15" s="1068" t="s">
        <v>464</v>
      </c>
      <c r="N15" s="606" t="s">
        <v>593</v>
      </c>
    </row>
    <row r="16" spans="1:14" ht="18" customHeight="1">
      <c r="A16" s="605" t="s">
        <v>594</v>
      </c>
      <c r="B16" s="609">
        <v>57</v>
      </c>
      <c r="C16" s="74">
        <f>(D16*1000)/B16</f>
        <v>3771.9298245614036</v>
      </c>
      <c r="D16" s="610">
        <v>215</v>
      </c>
      <c r="E16" s="1855">
        <v>54</v>
      </c>
      <c r="F16" s="74">
        <f>(G16*1000)/E16</f>
        <v>2685.185185185185</v>
      </c>
      <c r="G16" s="1856">
        <v>145</v>
      </c>
      <c r="H16" s="609">
        <v>305</v>
      </c>
      <c r="I16" s="74">
        <f>(J16*1000)/H16</f>
        <v>4131.147540983607</v>
      </c>
      <c r="J16" s="610">
        <v>1260</v>
      </c>
      <c r="K16" s="1855">
        <v>305</v>
      </c>
      <c r="L16" s="74">
        <f>(M16*1000)/K16</f>
        <v>2819.6721311475408</v>
      </c>
      <c r="M16" s="1856">
        <v>860</v>
      </c>
      <c r="N16" s="606" t="s">
        <v>594</v>
      </c>
    </row>
    <row r="17" spans="1:14" ht="18" customHeight="1">
      <c r="A17" s="605" t="s">
        <v>599</v>
      </c>
      <c r="B17" s="609">
        <v>33</v>
      </c>
      <c r="C17" s="74">
        <f>(D17*1000)/B17</f>
        <v>3787.878787878788</v>
      </c>
      <c r="D17" s="610">
        <v>125</v>
      </c>
      <c r="E17" s="1855">
        <v>2</v>
      </c>
      <c r="F17" s="74">
        <f>(G17*1000)/E17</f>
        <v>2000</v>
      </c>
      <c r="G17" s="1856">
        <v>4</v>
      </c>
      <c r="H17" s="609">
        <v>51</v>
      </c>
      <c r="I17" s="74">
        <f>(J17*1000)/H17</f>
        <v>3823.529411764706</v>
      </c>
      <c r="J17" s="610">
        <v>195</v>
      </c>
      <c r="K17" s="1855">
        <v>2</v>
      </c>
      <c r="L17" s="74">
        <f>(M17*1000)/K17</f>
        <v>2500</v>
      </c>
      <c r="M17" s="1856">
        <v>5</v>
      </c>
      <c r="N17" s="606" t="s">
        <v>599</v>
      </c>
    </row>
    <row r="18" spans="1:14" ht="18" customHeight="1">
      <c r="A18" s="605" t="s">
        <v>598</v>
      </c>
      <c r="B18" s="1066" t="s">
        <v>464</v>
      </c>
      <c r="C18" s="1071" t="s">
        <v>464</v>
      </c>
      <c r="D18" s="1068" t="s">
        <v>464</v>
      </c>
      <c r="E18" s="1855">
        <v>2</v>
      </c>
      <c r="F18" s="74">
        <f>(G18*1000)/E18</f>
        <v>2000</v>
      </c>
      <c r="G18" s="1856">
        <v>4</v>
      </c>
      <c r="H18" s="1069" t="s">
        <v>464</v>
      </c>
      <c r="I18" s="1071" t="s">
        <v>464</v>
      </c>
      <c r="J18" s="1067" t="s">
        <v>464</v>
      </c>
      <c r="K18" s="1066" t="s">
        <v>464</v>
      </c>
      <c r="L18" s="1067" t="s">
        <v>464</v>
      </c>
      <c r="M18" s="1068" t="s">
        <v>464</v>
      </c>
      <c r="N18" s="606" t="s">
        <v>598</v>
      </c>
    </row>
    <row r="19" spans="1:14" ht="18" customHeight="1">
      <c r="A19" s="613"/>
      <c r="B19" s="614"/>
      <c r="C19" s="615"/>
      <c r="D19" s="616"/>
      <c r="E19" s="614"/>
      <c r="F19" s="615"/>
      <c r="G19" s="616"/>
      <c r="H19" s="609"/>
      <c r="I19" s="600"/>
      <c r="J19" s="1858"/>
      <c r="K19" s="614"/>
      <c r="L19" s="615"/>
      <c r="M19" s="616"/>
      <c r="N19" s="606"/>
    </row>
    <row r="20" spans="1:14" ht="18" customHeight="1">
      <c r="A20" s="611" t="s">
        <v>601</v>
      </c>
      <c r="B20" s="599">
        <f>SUM(B21:B24)</f>
        <v>98</v>
      </c>
      <c r="C20" s="600">
        <f>(D20*1000)/B20</f>
        <v>3204.081632653061</v>
      </c>
      <c r="D20" s="601">
        <f>SUM(D21:D24)</f>
        <v>314</v>
      </c>
      <c r="E20" s="599">
        <f>SUM(E21:E24)</f>
        <v>4</v>
      </c>
      <c r="F20" s="600">
        <f>(G20*1000)/E20</f>
        <v>2250</v>
      </c>
      <c r="G20" s="601">
        <f>SUM(G21:G24)</f>
        <v>9</v>
      </c>
      <c r="H20" s="599">
        <f>SUM(H21:H24)</f>
        <v>195</v>
      </c>
      <c r="I20" s="600">
        <f>(J20*1000)/H20</f>
        <v>4025.641025641026</v>
      </c>
      <c r="J20" s="601">
        <f>SUM(J21:J24)</f>
        <v>785</v>
      </c>
      <c r="K20" s="1066" t="s">
        <v>464</v>
      </c>
      <c r="L20" s="1067" t="s">
        <v>464</v>
      </c>
      <c r="M20" s="1068" t="s">
        <v>464</v>
      </c>
      <c r="N20" s="612" t="s">
        <v>602</v>
      </c>
    </row>
    <row r="21" spans="1:14" ht="18" customHeight="1">
      <c r="A21" s="605" t="s">
        <v>603</v>
      </c>
      <c r="B21" s="617">
        <v>16</v>
      </c>
      <c r="C21" s="74">
        <f>(D21*1000)/B21</f>
        <v>3875</v>
      </c>
      <c r="D21" s="610">
        <v>62</v>
      </c>
      <c r="E21" s="1066" t="s">
        <v>464</v>
      </c>
      <c r="F21" s="1067" t="s">
        <v>464</v>
      </c>
      <c r="G21" s="1068" t="s">
        <v>464</v>
      </c>
      <c r="H21" s="617">
        <v>26</v>
      </c>
      <c r="I21" s="74">
        <f>(J21*1000)/H21</f>
        <v>3769.230769230769</v>
      </c>
      <c r="J21" s="610">
        <v>98</v>
      </c>
      <c r="K21" s="1066" t="s">
        <v>464</v>
      </c>
      <c r="L21" s="1067" t="s">
        <v>464</v>
      </c>
      <c r="M21" s="1068" t="s">
        <v>464</v>
      </c>
      <c r="N21" s="606" t="s">
        <v>604</v>
      </c>
    </row>
    <row r="22" spans="1:14" ht="18" customHeight="1">
      <c r="A22" s="605" t="s">
        <v>605</v>
      </c>
      <c r="B22" s="1855">
        <v>2</v>
      </c>
      <c r="C22" s="74">
        <f>(D22*1000)/B22</f>
        <v>3500</v>
      </c>
      <c r="D22" s="1856">
        <v>7</v>
      </c>
      <c r="E22" s="1066" t="s">
        <v>464</v>
      </c>
      <c r="F22" s="1067" t="s">
        <v>464</v>
      </c>
      <c r="G22" s="1068" t="s">
        <v>464</v>
      </c>
      <c r="H22" s="607">
        <v>10</v>
      </c>
      <c r="I22" s="74">
        <f>(J22*1000)/H22</f>
        <v>3700</v>
      </c>
      <c r="J22" s="1071">
        <v>37</v>
      </c>
      <c r="K22" s="1066" t="s">
        <v>464</v>
      </c>
      <c r="L22" s="1067" t="s">
        <v>464</v>
      </c>
      <c r="M22" s="1068" t="s">
        <v>464</v>
      </c>
      <c r="N22" s="606" t="s">
        <v>606</v>
      </c>
    </row>
    <row r="23" spans="1:14" ht="18" customHeight="1">
      <c r="A23" s="605" t="s">
        <v>607</v>
      </c>
      <c r="B23" s="1066" t="s">
        <v>464</v>
      </c>
      <c r="C23" s="1071" t="s">
        <v>464</v>
      </c>
      <c r="D23" s="1068" t="s">
        <v>464</v>
      </c>
      <c r="E23" s="1066" t="s">
        <v>464</v>
      </c>
      <c r="F23" s="1067" t="s">
        <v>464</v>
      </c>
      <c r="G23" s="1068" t="s">
        <v>464</v>
      </c>
      <c r="H23" s="1069" t="s">
        <v>464</v>
      </c>
      <c r="I23" s="1071" t="s">
        <v>464</v>
      </c>
      <c r="J23" s="1067" t="s">
        <v>464</v>
      </c>
      <c r="K23" s="1066" t="s">
        <v>464</v>
      </c>
      <c r="L23" s="1067" t="s">
        <v>464</v>
      </c>
      <c r="M23" s="1068" t="s">
        <v>464</v>
      </c>
      <c r="N23" s="606" t="s">
        <v>607</v>
      </c>
    </row>
    <row r="24" spans="1:14" ht="18" customHeight="1">
      <c r="A24" s="605" t="s">
        <v>608</v>
      </c>
      <c r="B24" s="609">
        <v>80</v>
      </c>
      <c r="C24" s="74">
        <f>(D24*1000)/B24</f>
        <v>3062.5</v>
      </c>
      <c r="D24" s="610">
        <v>245</v>
      </c>
      <c r="E24" s="609">
        <v>4</v>
      </c>
      <c r="F24" s="74">
        <f>(G24*1000)/E24</f>
        <v>2250</v>
      </c>
      <c r="G24" s="610">
        <v>9</v>
      </c>
      <c r="H24" s="609">
        <v>159</v>
      </c>
      <c r="I24" s="74">
        <f>(J24*1000)/H24</f>
        <v>4088.050314465409</v>
      </c>
      <c r="J24" s="610">
        <v>650</v>
      </c>
      <c r="K24" s="1066" t="s">
        <v>464</v>
      </c>
      <c r="L24" s="1067" t="s">
        <v>464</v>
      </c>
      <c r="M24" s="1068" t="s">
        <v>464</v>
      </c>
      <c r="N24" s="606" t="s">
        <v>608</v>
      </c>
    </row>
    <row r="25" spans="1:14" s="12" customFormat="1" ht="18" customHeight="1">
      <c r="A25" s="618"/>
      <c r="B25" s="619"/>
      <c r="C25" s="620"/>
      <c r="D25" s="621"/>
      <c r="E25" s="619"/>
      <c r="F25" s="620"/>
      <c r="G25" s="621"/>
      <c r="H25" s="599"/>
      <c r="I25" s="1859"/>
      <c r="J25" s="1860"/>
      <c r="K25" s="619"/>
      <c r="L25" s="620"/>
      <c r="M25" s="621"/>
      <c r="N25" s="622"/>
    </row>
    <row r="26" spans="1:14" ht="20.25" customHeight="1">
      <c r="A26" s="618" t="s">
        <v>1286</v>
      </c>
      <c r="B26" s="619">
        <f>SUM(B27:B28)</f>
        <v>182</v>
      </c>
      <c r="C26" s="600">
        <f>(D26*1000)/B26</f>
        <v>3170.3296703296705</v>
      </c>
      <c r="D26" s="621">
        <f>SUM(D27:D28)</f>
        <v>577</v>
      </c>
      <c r="E26" s="1066" t="s">
        <v>464</v>
      </c>
      <c r="F26" s="1067" t="s">
        <v>464</v>
      </c>
      <c r="G26" s="1068" t="s">
        <v>464</v>
      </c>
      <c r="H26" s="599">
        <f>SUM(H27:H28)</f>
        <v>433</v>
      </c>
      <c r="I26" s="600">
        <f>(J26*1000)/H26</f>
        <v>3672.055427251732</v>
      </c>
      <c r="J26" s="1860">
        <f>SUM(J27:J28)</f>
        <v>1590</v>
      </c>
      <c r="K26" s="1066" t="s">
        <v>464</v>
      </c>
      <c r="L26" s="1067" t="s">
        <v>464</v>
      </c>
      <c r="M26" s="1068" t="s">
        <v>464</v>
      </c>
      <c r="N26" s="612" t="s">
        <v>1286</v>
      </c>
    </row>
    <row r="27" spans="1:14" ht="18" customHeight="1">
      <c r="A27" s="613" t="s">
        <v>586</v>
      </c>
      <c r="B27" s="614">
        <v>67</v>
      </c>
      <c r="C27" s="74">
        <f>(D27*1000)/B27</f>
        <v>3388.0597014925374</v>
      </c>
      <c r="D27" s="616">
        <v>227</v>
      </c>
      <c r="E27" s="1066" t="s">
        <v>464</v>
      </c>
      <c r="F27" s="1067" t="s">
        <v>464</v>
      </c>
      <c r="G27" s="1068" t="s">
        <v>464</v>
      </c>
      <c r="H27" s="609">
        <v>145</v>
      </c>
      <c r="I27" s="74">
        <f>(J27*1000)/H27</f>
        <v>3724.137931034483</v>
      </c>
      <c r="J27" s="1858">
        <v>540</v>
      </c>
      <c r="K27" s="1066" t="s">
        <v>464</v>
      </c>
      <c r="L27" s="1067" t="s">
        <v>464</v>
      </c>
      <c r="M27" s="1068" t="s">
        <v>464</v>
      </c>
      <c r="N27" s="606" t="s">
        <v>586</v>
      </c>
    </row>
    <row r="28" spans="1:14" ht="18" customHeight="1">
      <c r="A28" s="613" t="s">
        <v>587</v>
      </c>
      <c r="B28" s="614">
        <v>115</v>
      </c>
      <c r="C28" s="74">
        <f>(D28*1000)/B28</f>
        <v>3043.478260869565</v>
      </c>
      <c r="D28" s="616">
        <v>350</v>
      </c>
      <c r="E28" s="1066" t="s">
        <v>464</v>
      </c>
      <c r="F28" s="1067" t="s">
        <v>464</v>
      </c>
      <c r="G28" s="1068" t="s">
        <v>464</v>
      </c>
      <c r="H28" s="609">
        <v>288</v>
      </c>
      <c r="I28" s="74">
        <f>(J28*1000)/H28</f>
        <v>3645.8333333333335</v>
      </c>
      <c r="J28" s="1858">
        <v>1050</v>
      </c>
      <c r="K28" s="1066" t="s">
        <v>464</v>
      </c>
      <c r="L28" s="1067" t="s">
        <v>464</v>
      </c>
      <c r="M28" s="1068" t="s">
        <v>464</v>
      </c>
      <c r="N28" s="606" t="s">
        <v>587</v>
      </c>
    </row>
    <row r="29" spans="1:14" ht="18" customHeight="1">
      <c r="A29" s="613"/>
      <c r="B29" s="614"/>
      <c r="C29" s="615"/>
      <c r="D29" s="616"/>
      <c r="E29" s="614"/>
      <c r="F29" s="615"/>
      <c r="G29" s="616"/>
      <c r="H29" s="609"/>
      <c r="I29" s="1857"/>
      <c r="J29" s="1858"/>
      <c r="K29" s="614"/>
      <c r="L29" s="615"/>
      <c r="M29" s="616"/>
      <c r="N29" s="606"/>
    </row>
    <row r="30" spans="1:14" ht="18" customHeight="1">
      <c r="A30" s="618" t="s">
        <v>1287</v>
      </c>
      <c r="B30" s="619">
        <f>SUM(B31:B33)</f>
        <v>47</v>
      </c>
      <c r="C30" s="600">
        <f>(D30*1000)/B30</f>
        <v>3127.659574468085</v>
      </c>
      <c r="D30" s="621">
        <f>SUM(D31:D33)</f>
        <v>147</v>
      </c>
      <c r="E30" s="619">
        <f>SUM(E31:E33)</f>
        <v>170</v>
      </c>
      <c r="F30" s="600">
        <f>(G30*1000)/E30</f>
        <v>2176.470588235294</v>
      </c>
      <c r="G30" s="621">
        <f>SUM(G31:G33)</f>
        <v>370</v>
      </c>
      <c r="H30" s="599">
        <f>SUM(H31:H33)</f>
        <v>114</v>
      </c>
      <c r="I30" s="600">
        <f>(J30*1000)/H30</f>
        <v>3947.3684210526317</v>
      </c>
      <c r="J30" s="1860">
        <f>SUM(J31:J33)</f>
        <v>450</v>
      </c>
      <c r="K30" s="1066" t="s">
        <v>464</v>
      </c>
      <c r="L30" s="1067" t="s">
        <v>464</v>
      </c>
      <c r="M30" s="1068" t="s">
        <v>464</v>
      </c>
      <c r="N30" s="612" t="s">
        <v>1287</v>
      </c>
    </row>
    <row r="31" spans="1:14" ht="18" customHeight="1">
      <c r="A31" s="613" t="s">
        <v>1273</v>
      </c>
      <c r="B31" s="2764">
        <v>3</v>
      </c>
      <c r="C31" s="2236">
        <f>(D31*1000)/B31</f>
        <v>3333.3333333333335</v>
      </c>
      <c r="D31" s="2765">
        <v>10</v>
      </c>
      <c r="E31" s="1066" t="s">
        <v>464</v>
      </c>
      <c r="F31" s="1067" t="s">
        <v>464</v>
      </c>
      <c r="G31" s="1068" t="s">
        <v>464</v>
      </c>
      <c r="H31" s="1066" t="s">
        <v>464</v>
      </c>
      <c r="I31" s="1067" t="s">
        <v>464</v>
      </c>
      <c r="J31" s="1068" t="s">
        <v>464</v>
      </c>
      <c r="K31" s="1066" t="s">
        <v>464</v>
      </c>
      <c r="L31" s="1067" t="s">
        <v>464</v>
      </c>
      <c r="M31" s="1068" t="s">
        <v>464</v>
      </c>
      <c r="N31" s="606" t="s">
        <v>1273</v>
      </c>
    </row>
    <row r="32" spans="1:14" ht="18" customHeight="1">
      <c r="A32" s="613" t="s">
        <v>596</v>
      </c>
      <c r="B32" s="614">
        <v>4</v>
      </c>
      <c r="C32" s="74">
        <f>(D32*1000)/B32</f>
        <v>3000</v>
      </c>
      <c r="D32" s="616">
        <v>12</v>
      </c>
      <c r="E32" s="614">
        <v>170</v>
      </c>
      <c r="F32" s="74">
        <f>(G32*1000)/E32</f>
        <v>2176.470588235294</v>
      </c>
      <c r="G32" s="616">
        <v>370</v>
      </c>
      <c r="H32" s="609">
        <v>4</v>
      </c>
      <c r="I32" s="74">
        <f>(J32*1000)/H32</f>
        <v>3500</v>
      </c>
      <c r="J32" s="1858">
        <v>14</v>
      </c>
      <c r="K32" s="1066" t="s">
        <v>464</v>
      </c>
      <c r="L32" s="1067" t="s">
        <v>464</v>
      </c>
      <c r="M32" s="1068" t="s">
        <v>464</v>
      </c>
      <c r="N32" s="606" t="s">
        <v>596</v>
      </c>
    </row>
    <row r="33" spans="1:14" ht="18" customHeight="1" thickBot="1">
      <c r="A33" s="623" t="s">
        <v>595</v>
      </c>
      <c r="B33" s="624">
        <v>40</v>
      </c>
      <c r="C33" s="130">
        <f>(D33*1000)/B33</f>
        <v>3125</v>
      </c>
      <c r="D33" s="625">
        <v>125</v>
      </c>
      <c r="E33" s="1072" t="s">
        <v>464</v>
      </c>
      <c r="F33" s="1073" t="s">
        <v>464</v>
      </c>
      <c r="G33" s="1074" t="s">
        <v>464</v>
      </c>
      <c r="H33" s="624">
        <v>110</v>
      </c>
      <c r="I33" s="130">
        <f>(J33*1000)/H33</f>
        <v>3963.6363636363635</v>
      </c>
      <c r="J33" s="625">
        <v>436</v>
      </c>
      <c r="K33" s="1072" t="s">
        <v>464</v>
      </c>
      <c r="L33" s="1073" t="s">
        <v>464</v>
      </c>
      <c r="M33" s="1074" t="s">
        <v>464</v>
      </c>
      <c r="N33" s="626" t="s">
        <v>595</v>
      </c>
    </row>
    <row r="34" spans="1:14" ht="16.5" customHeight="1">
      <c r="A34" s="1075"/>
      <c r="B34" s="1076"/>
      <c r="C34" s="74"/>
      <c r="D34" s="1076"/>
      <c r="E34" s="1076"/>
      <c r="F34" s="74"/>
      <c r="G34" s="1076"/>
      <c r="H34" s="1076"/>
      <c r="I34" s="74"/>
      <c r="J34" s="1076"/>
      <c r="K34" s="1076"/>
      <c r="L34" s="74"/>
      <c r="M34" s="1076"/>
      <c r="N34" s="1077"/>
    </row>
    <row r="35" spans="1:14" ht="16.5" customHeight="1" hidden="1">
      <c r="A35" s="583"/>
      <c r="B35" s="583"/>
      <c r="C35" s="11"/>
      <c r="D35" s="583"/>
      <c r="E35" s="583"/>
      <c r="F35" s="11"/>
      <c r="G35" s="583"/>
      <c r="H35" s="583"/>
      <c r="I35" s="11"/>
      <c r="J35" s="583"/>
      <c r="K35" s="583"/>
      <c r="L35" s="11"/>
      <c r="M35" s="583"/>
      <c r="N35" s="584"/>
    </row>
    <row r="36" spans="1:14" ht="16.5" customHeight="1">
      <c r="A36" s="1054" t="s">
        <v>647</v>
      </c>
      <c r="B36" s="583"/>
      <c r="C36" s="11"/>
      <c r="D36" s="583"/>
      <c r="E36" s="583"/>
      <c r="F36" s="11"/>
      <c r="G36" s="583"/>
      <c r="H36" s="583"/>
      <c r="I36" s="11"/>
      <c r="J36" s="583"/>
      <c r="K36" s="583"/>
      <c r="L36" s="11"/>
      <c r="M36" s="583"/>
      <c r="N36" s="584"/>
    </row>
    <row r="37" spans="1:14" ht="16.5" customHeight="1" hidden="1">
      <c r="A37" s="583"/>
      <c r="B37" s="583"/>
      <c r="C37" s="11"/>
      <c r="D37" s="583"/>
      <c r="E37" s="583"/>
      <c r="F37" s="11"/>
      <c r="G37" s="583"/>
      <c r="H37" s="583"/>
      <c r="I37" s="11"/>
      <c r="J37" s="583"/>
      <c r="K37" s="583"/>
      <c r="L37" s="11"/>
      <c r="M37" s="583"/>
      <c r="N37" s="584"/>
    </row>
    <row r="38" spans="1:14" ht="16.5" customHeight="1" thickBot="1">
      <c r="A38" s="583"/>
      <c r="B38" s="583"/>
      <c r="C38" s="11"/>
      <c r="D38" s="583"/>
      <c r="E38" s="583"/>
      <c r="F38" s="11"/>
      <c r="G38" s="583"/>
      <c r="H38" s="583"/>
      <c r="I38" s="11"/>
      <c r="J38" s="583"/>
      <c r="K38" s="583"/>
      <c r="L38" s="11"/>
      <c r="M38" s="583"/>
      <c r="N38" s="584"/>
    </row>
    <row r="39" spans="1:14" ht="27.75" customHeight="1">
      <c r="A39" s="1055"/>
      <c r="B39" s="1078"/>
      <c r="C39" s="1079" t="s">
        <v>1252</v>
      </c>
      <c r="D39" s="1079"/>
      <c r="E39" s="1064"/>
      <c r="F39" s="1080" t="s">
        <v>790</v>
      </c>
      <c r="G39" s="1079"/>
      <c r="H39" s="1064"/>
      <c r="I39" s="1080" t="s">
        <v>1253</v>
      </c>
      <c r="J39" s="1081"/>
      <c r="K39" s="1082"/>
      <c r="L39" s="1083"/>
      <c r="M39" s="1082"/>
      <c r="N39" s="1056"/>
    </row>
    <row r="40" spans="1:14" ht="28.5" customHeight="1" thickBot="1">
      <c r="A40" s="1084"/>
      <c r="B40" s="1085"/>
      <c r="C40" s="1086" t="s">
        <v>788</v>
      </c>
      <c r="D40" s="1086"/>
      <c r="E40" s="1087"/>
      <c r="F40" s="1088" t="s">
        <v>789</v>
      </c>
      <c r="G40" s="1088"/>
      <c r="H40" s="1087"/>
      <c r="I40" s="1089" t="s">
        <v>791</v>
      </c>
      <c r="J40" s="1090"/>
      <c r="K40" s="2877" t="s">
        <v>477</v>
      </c>
      <c r="L40" s="2877"/>
      <c r="M40" s="2877"/>
      <c r="N40" s="1091"/>
    </row>
    <row r="41" spans="1:14" ht="22.5" customHeight="1">
      <c r="A41" s="1057" t="s">
        <v>566</v>
      </c>
      <c r="B41" s="1092" t="s">
        <v>648</v>
      </c>
      <c r="C41" s="594" t="s">
        <v>568</v>
      </c>
      <c r="D41" s="1062" t="s">
        <v>569</v>
      </c>
      <c r="E41" s="1062" t="s">
        <v>648</v>
      </c>
      <c r="F41" s="594" t="s">
        <v>568</v>
      </c>
      <c r="G41" s="1062" t="s">
        <v>569</v>
      </c>
      <c r="H41" s="1062" t="s">
        <v>648</v>
      </c>
      <c r="I41" s="594" t="s">
        <v>568</v>
      </c>
      <c r="J41" s="1062" t="s">
        <v>569</v>
      </c>
      <c r="K41" s="1062" t="s">
        <v>649</v>
      </c>
      <c r="L41" s="594" t="s">
        <v>568</v>
      </c>
      <c r="M41" s="1093" t="s">
        <v>569</v>
      </c>
      <c r="N41" s="1059" t="s">
        <v>570</v>
      </c>
    </row>
    <row r="42" spans="1:14" ht="22.5" customHeight="1">
      <c r="A42" s="1057" t="s">
        <v>571</v>
      </c>
      <c r="B42" s="1094" t="s">
        <v>572</v>
      </c>
      <c r="C42" s="593" t="s">
        <v>573</v>
      </c>
      <c r="D42" s="1060" t="s">
        <v>1406</v>
      </c>
      <c r="E42" s="1060" t="s">
        <v>572</v>
      </c>
      <c r="F42" s="593" t="s">
        <v>573</v>
      </c>
      <c r="G42" s="1060" t="s">
        <v>1406</v>
      </c>
      <c r="H42" s="1060" t="s">
        <v>572</v>
      </c>
      <c r="I42" s="593" t="s">
        <v>573</v>
      </c>
      <c r="J42" s="1060" t="s">
        <v>1406</v>
      </c>
      <c r="K42" s="1060" t="s">
        <v>572</v>
      </c>
      <c r="L42" s="593" t="s">
        <v>573</v>
      </c>
      <c r="M42" s="1095" t="s">
        <v>1406</v>
      </c>
      <c r="N42" s="1059" t="s">
        <v>575</v>
      </c>
    </row>
    <row r="43" spans="1:14" ht="22.5" customHeight="1" thickBot="1">
      <c r="A43" s="1061"/>
      <c r="B43" s="1092" t="s">
        <v>1280</v>
      </c>
      <c r="C43" s="594" t="s">
        <v>576</v>
      </c>
      <c r="D43" s="1062" t="s">
        <v>577</v>
      </c>
      <c r="E43" s="1062" t="s">
        <v>1280</v>
      </c>
      <c r="F43" s="594" t="s">
        <v>576</v>
      </c>
      <c r="G43" s="1062" t="s">
        <v>577</v>
      </c>
      <c r="H43" s="1062" t="s">
        <v>1280</v>
      </c>
      <c r="I43" s="594" t="s">
        <v>576</v>
      </c>
      <c r="J43" s="1062" t="s">
        <v>577</v>
      </c>
      <c r="K43" s="1062" t="s">
        <v>1280</v>
      </c>
      <c r="L43" s="594" t="s">
        <v>576</v>
      </c>
      <c r="M43" s="1093" t="s">
        <v>577</v>
      </c>
      <c r="N43" s="1096"/>
    </row>
    <row r="44" spans="1:14" s="12" customFormat="1" ht="30.75" customHeight="1" thickBot="1">
      <c r="A44" s="1064" t="s">
        <v>578</v>
      </c>
      <c r="B44" s="1863">
        <f>SUM(B50+B57+B63+B67)</f>
        <v>432</v>
      </c>
      <c r="C44" s="597">
        <f>(D44*1000)/B44</f>
        <v>1505.787037037037</v>
      </c>
      <c r="D44" s="2766">
        <f>SUM(D50+D57+D63+D67)</f>
        <v>650.5</v>
      </c>
      <c r="E44" s="2201">
        <f>SUM(E45+E50+E57+E63+E67)</f>
        <v>548.5</v>
      </c>
      <c r="F44" s="596">
        <f>(G44*1000)/E44</f>
        <v>1376.4813126709207</v>
      </c>
      <c r="G44" s="1098">
        <f>SUM(G45+G50+G57+G63+G67)</f>
        <v>755</v>
      </c>
      <c r="H44" s="1097">
        <f>SUM(H45+H50+H57+H63+H67)</f>
        <v>533</v>
      </c>
      <c r="I44" s="596">
        <f>(J44*1000)/H44</f>
        <v>1304.1275797373357</v>
      </c>
      <c r="J44" s="1098">
        <f>SUM(J45+J50+J57+J63+J67)</f>
        <v>695.1</v>
      </c>
      <c r="K44" s="590">
        <f>SUM(K63+K67+K57)</f>
        <v>348</v>
      </c>
      <c r="L44" s="596">
        <f>(M44*1000)/K44</f>
        <v>965.5172413793103</v>
      </c>
      <c r="M44" s="589">
        <f>SUM(M63+M67+M57)</f>
        <v>336</v>
      </c>
      <c r="N44" s="1065" t="s">
        <v>579</v>
      </c>
    </row>
    <row r="45" spans="1:14" s="12" customFormat="1" ht="18" customHeight="1">
      <c r="A45" s="598" t="s">
        <v>580</v>
      </c>
      <c r="B45" s="1890" t="s">
        <v>464</v>
      </c>
      <c r="C45" s="1099" t="s">
        <v>464</v>
      </c>
      <c r="D45" s="2196" t="s">
        <v>464</v>
      </c>
      <c r="E45" s="1100">
        <f>SUM(E46:E48)</f>
        <v>2</v>
      </c>
      <c r="F45" s="600">
        <f>(G45*1000)/E45</f>
        <v>1500</v>
      </c>
      <c r="G45" s="1113">
        <f>SUM(G46:G48)</f>
        <v>3</v>
      </c>
      <c r="H45" s="1101">
        <f>SUM(H46:H48)</f>
        <v>58</v>
      </c>
      <c r="I45" s="600">
        <f>(J45*1000)/H45</f>
        <v>1165.5172413793102</v>
      </c>
      <c r="J45" s="1113">
        <f>SUM(J46:J48)</f>
        <v>67.6</v>
      </c>
      <c r="K45" s="1102" t="s">
        <v>464</v>
      </c>
      <c r="L45" s="1103" t="s">
        <v>464</v>
      </c>
      <c r="M45" s="1104" t="s">
        <v>464</v>
      </c>
      <c r="N45" s="604" t="s">
        <v>581</v>
      </c>
    </row>
    <row r="46" spans="1:14" ht="18" customHeight="1">
      <c r="A46" s="605" t="s">
        <v>582</v>
      </c>
      <c r="B46" s="1890" t="s">
        <v>464</v>
      </c>
      <c r="C46" s="677" t="s">
        <v>464</v>
      </c>
      <c r="D46" s="994" t="s">
        <v>464</v>
      </c>
      <c r="E46" s="1105">
        <v>2</v>
      </c>
      <c r="F46" s="74">
        <f>(G46*1000)/E46</f>
        <v>1500</v>
      </c>
      <c r="G46" s="1802">
        <v>3</v>
      </c>
      <c r="H46" s="1106">
        <v>6</v>
      </c>
      <c r="I46" s="74">
        <f>(J46*1000)/H46</f>
        <v>1166.6666666666667</v>
      </c>
      <c r="J46" s="608">
        <v>7</v>
      </c>
      <c r="K46" s="1102" t="s">
        <v>464</v>
      </c>
      <c r="L46" s="1103" t="s">
        <v>464</v>
      </c>
      <c r="M46" s="1104" t="s">
        <v>464</v>
      </c>
      <c r="N46" s="606" t="s">
        <v>583</v>
      </c>
    </row>
    <row r="47" spans="1:14" ht="18" customHeight="1">
      <c r="A47" s="605" t="s">
        <v>584</v>
      </c>
      <c r="B47" s="1890" t="s">
        <v>464</v>
      </c>
      <c r="C47" s="677" t="s">
        <v>464</v>
      </c>
      <c r="D47" s="994" t="s">
        <v>464</v>
      </c>
      <c r="E47" s="1102" t="s">
        <v>464</v>
      </c>
      <c r="F47" s="1103" t="s">
        <v>464</v>
      </c>
      <c r="G47" s="1103" t="s">
        <v>464</v>
      </c>
      <c r="H47" s="1102">
        <v>5</v>
      </c>
      <c r="I47" s="74">
        <f>(J47*1000)/H47</f>
        <v>1120</v>
      </c>
      <c r="J47" s="1103">
        <v>5.6</v>
      </c>
      <c r="K47" s="1102" t="s">
        <v>464</v>
      </c>
      <c r="L47" s="1103" t="s">
        <v>464</v>
      </c>
      <c r="M47" s="1104" t="s">
        <v>464</v>
      </c>
      <c r="N47" s="606" t="s">
        <v>584</v>
      </c>
    </row>
    <row r="48" spans="1:14" ht="18" customHeight="1">
      <c r="A48" s="605" t="s">
        <v>585</v>
      </c>
      <c r="B48" s="1890" t="s">
        <v>464</v>
      </c>
      <c r="C48" s="677" t="s">
        <v>464</v>
      </c>
      <c r="D48" s="994" t="s">
        <v>464</v>
      </c>
      <c r="E48" s="1102" t="s">
        <v>464</v>
      </c>
      <c r="F48" s="1103" t="s">
        <v>464</v>
      </c>
      <c r="G48" s="1103" t="s">
        <v>464</v>
      </c>
      <c r="H48" s="1106">
        <v>47</v>
      </c>
      <c r="I48" s="74">
        <f>(J48*1000)/H48</f>
        <v>1170.212765957447</v>
      </c>
      <c r="J48" s="608">
        <v>55</v>
      </c>
      <c r="K48" s="1102" t="s">
        <v>464</v>
      </c>
      <c r="L48" s="1103" t="s">
        <v>464</v>
      </c>
      <c r="M48" s="1104" t="s">
        <v>464</v>
      </c>
      <c r="N48" s="606" t="s">
        <v>585</v>
      </c>
    </row>
    <row r="49" spans="1:14" ht="18" customHeight="1">
      <c r="A49" s="605"/>
      <c r="B49" s="2574"/>
      <c r="C49" s="74"/>
      <c r="D49" s="2197"/>
      <c r="E49" s="641"/>
      <c r="F49" s="74"/>
      <c r="G49" s="610"/>
      <c r="H49" s="1106"/>
      <c r="I49" s="74"/>
      <c r="J49" s="610"/>
      <c r="K49" s="609"/>
      <c r="L49" s="74"/>
      <c r="M49" s="610"/>
      <c r="N49" s="606"/>
    </row>
    <row r="50" spans="1:14" s="12" customFormat="1" ht="18" customHeight="1">
      <c r="A50" s="611" t="s">
        <v>588</v>
      </c>
      <c r="B50" s="2575">
        <f>SUM(B51:B55)</f>
        <v>28</v>
      </c>
      <c r="C50" s="600">
        <f>(D50*1000)/B50</f>
        <v>1553.5714285714287</v>
      </c>
      <c r="D50" s="2767">
        <f>SUM(D51:D55)</f>
        <v>43.5</v>
      </c>
      <c r="E50" s="1798">
        <f>SUM(E51:E55)</f>
        <v>49</v>
      </c>
      <c r="F50" s="600">
        <f>(G50*1000)/E50</f>
        <v>1224.4897959183672</v>
      </c>
      <c r="G50" s="1800">
        <f>SUM(G51:G55)</f>
        <v>60</v>
      </c>
      <c r="H50" s="1101">
        <f>SUM(H51:H55)</f>
        <v>108</v>
      </c>
      <c r="I50" s="600">
        <f aca="true" t="shared" si="0" ref="I50:I55">(J50*1000)/H50</f>
        <v>1287.037037037037</v>
      </c>
      <c r="J50" s="601">
        <f>SUM(J51:J55)</f>
        <v>139</v>
      </c>
      <c r="K50" s="1102" t="s">
        <v>464</v>
      </c>
      <c r="L50" s="1103" t="s">
        <v>464</v>
      </c>
      <c r="M50" s="1104" t="s">
        <v>464</v>
      </c>
      <c r="N50" s="612" t="s">
        <v>589</v>
      </c>
    </row>
    <row r="51" spans="1:14" ht="18" customHeight="1">
      <c r="A51" s="605" t="s">
        <v>590</v>
      </c>
      <c r="B51" s="1842" t="s">
        <v>464</v>
      </c>
      <c r="C51" s="1071" t="s">
        <v>464</v>
      </c>
      <c r="D51" s="2199" t="s">
        <v>464</v>
      </c>
      <c r="E51" s="1102">
        <v>30</v>
      </c>
      <c r="F51" s="74">
        <f>(G51*1000)/E51</f>
        <v>1233.3333333333333</v>
      </c>
      <c r="G51" s="1103">
        <v>37</v>
      </c>
      <c r="H51" s="1106">
        <v>15</v>
      </c>
      <c r="I51" s="74">
        <f t="shared" si="0"/>
        <v>1266.6666666666667</v>
      </c>
      <c r="J51" s="610">
        <v>19</v>
      </c>
      <c r="K51" s="1102" t="s">
        <v>464</v>
      </c>
      <c r="L51" s="1103" t="s">
        <v>464</v>
      </c>
      <c r="M51" s="1104" t="s">
        <v>464</v>
      </c>
      <c r="N51" s="606" t="s">
        <v>591</v>
      </c>
    </row>
    <row r="52" spans="1:14" s="12" customFormat="1" ht="18" customHeight="1">
      <c r="A52" s="605" t="s">
        <v>592</v>
      </c>
      <c r="B52" s="1842">
        <v>1</v>
      </c>
      <c r="C52" s="74">
        <f>(D52*1000)/B52</f>
        <v>1500</v>
      </c>
      <c r="D52" s="994">
        <v>1.5</v>
      </c>
      <c r="E52" s="1102" t="s">
        <v>464</v>
      </c>
      <c r="F52" s="1103" t="s">
        <v>464</v>
      </c>
      <c r="G52" s="1103" t="s">
        <v>464</v>
      </c>
      <c r="H52" s="1106">
        <v>4</v>
      </c>
      <c r="I52" s="74">
        <f t="shared" si="0"/>
        <v>1250</v>
      </c>
      <c r="J52" s="610">
        <v>5</v>
      </c>
      <c r="K52" s="1102" t="s">
        <v>464</v>
      </c>
      <c r="L52" s="1103" t="s">
        <v>464</v>
      </c>
      <c r="M52" s="1104" t="s">
        <v>464</v>
      </c>
      <c r="N52" s="606" t="s">
        <v>593</v>
      </c>
    </row>
    <row r="53" spans="1:14" ht="18" customHeight="1">
      <c r="A53" s="605" t="s">
        <v>594</v>
      </c>
      <c r="B53" s="2576">
        <v>27</v>
      </c>
      <c r="C53" s="74">
        <f>(D53*1000)/B53</f>
        <v>1555.5555555555557</v>
      </c>
      <c r="D53" s="2434">
        <v>42</v>
      </c>
      <c r="E53" s="1102">
        <v>15</v>
      </c>
      <c r="F53" s="74">
        <f>(G53*1000)/E53</f>
        <v>1200</v>
      </c>
      <c r="G53" s="1103">
        <f>3+15</f>
        <v>18</v>
      </c>
      <c r="H53" s="1102">
        <v>20</v>
      </c>
      <c r="I53" s="74">
        <f t="shared" si="0"/>
        <v>1200</v>
      </c>
      <c r="J53" s="1103">
        <v>24</v>
      </c>
      <c r="K53" s="1102" t="s">
        <v>464</v>
      </c>
      <c r="L53" s="1103" t="s">
        <v>464</v>
      </c>
      <c r="M53" s="1104" t="s">
        <v>464</v>
      </c>
      <c r="N53" s="606" t="s">
        <v>594</v>
      </c>
    </row>
    <row r="54" spans="1:14" ht="18" customHeight="1">
      <c r="A54" s="605" t="s">
        <v>599</v>
      </c>
      <c r="B54" s="1890" t="s">
        <v>464</v>
      </c>
      <c r="C54" s="1071" t="s">
        <v>464</v>
      </c>
      <c r="D54" s="2199" t="s">
        <v>464</v>
      </c>
      <c r="E54" s="1102">
        <f>2+2</f>
        <v>4</v>
      </c>
      <c r="F54" s="74">
        <f>(G54*1000)/E54</f>
        <v>1250</v>
      </c>
      <c r="G54" s="1103">
        <v>5</v>
      </c>
      <c r="H54" s="1106">
        <f>2+55</f>
        <v>57</v>
      </c>
      <c r="I54" s="74">
        <f t="shared" si="0"/>
        <v>1333.3333333333333</v>
      </c>
      <c r="J54" s="610">
        <v>76</v>
      </c>
      <c r="K54" s="1102" t="s">
        <v>464</v>
      </c>
      <c r="L54" s="1103" t="s">
        <v>464</v>
      </c>
      <c r="M54" s="1104" t="s">
        <v>464</v>
      </c>
      <c r="N54" s="606" t="s">
        <v>599</v>
      </c>
    </row>
    <row r="55" spans="1:14" ht="18" customHeight="1">
      <c r="A55" s="605" t="s">
        <v>598</v>
      </c>
      <c r="B55" s="1890" t="s">
        <v>464</v>
      </c>
      <c r="C55" s="677" t="s">
        <v>464</v>
      </c>
      <c r="D55" s="994" t="s">
        <v>464</v>
      </c>
      <c r="E55" s="1103" t="s">
        <v>464</v>
      </c>
      <c r="F55" s="1103" t="s">
        <v>464</v>
      </c>
      <c r="G55" s="1103" t="s">
        <v>464</v>
      </c>
      <c r="H55" s="1106">
        <f>7+5</f>
        <v>12</v>
      </c>
      <c r="I55" s="74">
        <f t="shared" si="0"/>
        <v>1250</v>
      </c>
      <c r="J55" s="610">
        <v>15</v>
      </c>
      <c r="K55" s="1102" t="s">
        <v>464</v>
      </c>
      <c r="L55" s="1103" t="s">
        <v>464</v>
      </c>
      <c r="M55" s="1104" t="s">
        <v>464</v>
      </c>
      <c r="N55" s="606" t="s">
        <v>598</v>
      </c>
    </row>
    <row r="56" spans="1:14" ht="18" customHeight="1">
      <c r="A56" s="613"/>
      <c r="B56" s="2574"/>
      <c r="C56" s="615"/>
      <c r="D56" s="2198"/>
      <c r="E56" s="1105"/>
      <c r="F56" s="615"/>
      <c r="G56" s="616"/>
      <c r="H56" s="1106"/>
      <c r="I56" s="615"/>
      <c r="J56" s="616"/>
      <c r="K56" s="614"/>
      <c r="L56" s="615"/>
      <c r="M56" s="616"/>
      <c r="N56" s="606"/>
    </row>
    <row r="57" spans="1:14" ht="18" customHeight="1">
      <c r="A57" s="611" t="s">
        <v>601</v>
      </c>
      <c r="B57" s="2575">
        <f>SUM(B58:B61)</f>
        <v>36</v>
      </c>
      <c r="C57" s="600">
        <f>(D57*1000)/B57</f>
        <v>1277.7777777777778</v>
      </c>
      <c r="D57" s="2435">
        <f>SUM(D58:D61)</f>
        <v>46</v>
      </c>
      <c r="E57" s="1100">
        <f>SUM(E58:E61)</f>
        <v>24</v>
      </c>
      <c r="F57" s="600">
        <f>(G57*1000)/E57</f>
        <v>1333.3333333333333</v>
      </c>
      <c r="G57" s="1113">
        <f>SUM(G58:G61)</f>
        <v>32</v>
      </c>
      <c r="H57" s="1101">
        <f>SUM(H58:H61)</f>
        <v>73</v>
      </c>
      <c r="I57" s="600">
        <f>(J57*1000)/H57</f>
        <v>1534.2465753424658</v>
      </c>
      <c r="J57" s="2435">
        <f>SUM(J58:J61)</f>
        <v>112</v>
      </c>
      <c r="K57" s="1798">
        <f>SUM(K58:K61)</f>
        <v>2</v>
      </c>
      <c r="L57" s="600">
        <f>(M57*1000)/K57</f>
        <v>1000</v>
      </c>
      <c r="M57" s="1801">
        <f>SUM(M58:M61)</f>
        <v>2</v>
      </c>
      <c r="N57" s="612" t="s">
        <v>602</v>
      </c>
    </row>
    <row r="58" spans="1:14" ht="18" customHeight="1">
      <c r="A58" s="605" t="s">
        <v>603</v>
      </c>
      <c r="B58" s="2413" t="s">
        <v>464</v>
      </c>
      <c r="C58" s="677" t="s">
        <v>464</v>
      </c>
      <c r="D58" s="1846" t="s">
        <v>464</v>
      </c>
      <c r="E58" s="1102" t="s">
        <v>464</v>
      </c>
      <c r="F58" s="1103" t="s">
        <v>464</v>
      </c>
      <c r="G58" s="1103" t="s">
        <v>464</v>
      </c>
      <c r="H58" s="1102">
        <v>3</v>
      </c>
      <c r="I58" s="74">
        <f>(J58*1000)/H58</f>
        <v>1333.3333333333333</v>
      </c>
      <c r="J58" s="2413">
        <v>4</v>
      </c>
      <c r="K58" s="1102">
        <v>2</v>
      </c>
      <c r="L58" s="74">
        <f>(M58*1000)/K58</f>
        <v>1000</v>
      </c>
      <c r="M58" s="1104">
        <v>2</v>
      </c>
      <c r="N58" s="606" t="s">
        <v>604</v>
      </c>
    </row>
    <row r="59" spans="1:14" ht="18" customHeight="1">
      <c r="A59" s="605" t="s">
        <v>605</v>
      </c>
      <c r="B59" s="2413">
        <v>1</v>
      </c>
      <c r="C59" s="677" t="s">
        <v>464</v>
      </c>
      <c r="D59" s="1846" t="s">
        <v>464</v>
      </c>
      <c r="E59" s="1102" t="s">
        <v>464</v>
      </c>
      <c r="F59" s="1103" t="s">
        <v>464</v>
      </c>
      <c r="G59" s="1103" t="s">
        <v>464</v>
      </c>
      <c r="H59" s="1106">
        <v>5</v>
      </c>
      <c r="I59" s="74">
        <f>(J59*1000)/H59</f>
        <v>1200</v>
      </c>
      <c r="J59" s="2434">
        <v>6</v>
      </c>
      <c r="K59" s="1102" t="s">
        <v>464</v>
      </c>
      <c r="L59" s="1103" t="s">
        <v>464</v>
      </c>
      <c r="M59" s="1104" t="s">
        <v>464</v>
      </c>
      <c r="N59" s="606" t="s">
        <v>606</v>
      </c>
    </row>
    <row r="60" spans="1:14" ht="18" customHeight="1">
      <c r="A60" s="605" t="s">
        <v>607</v>
      </c>
      <c r="B60" s="1229" t="s">
        <v>464</v>
      </c>
      <c r="C60" s="1071" t="s">
        <v>464</v>
      </c>
      <c r="D60" s="2436"/>
      <c r="E60" s="1102" t="s">
        <v>464</v>
      </c>
      <c r="F60" s="1103" t="s">
        <v>464</v>
      </c>
      <c r="G60" s="1103" t="s">
        <v>464</v>
      </c>
      <c r="H60" s="1102" t="s">
        <v>464</v>
      </c>
      <c r="I60" s="1103" t="s">
        <v>464</v>
      </c>
      <c r="J60" s="1103" t="s">
        <v>464</v>
      </c>
      <c r="K60" s="1102" t="s">
        <v>464</v>
      </c>
      <c r="L60" s="1103" t="s">
        <v>464</v>
      </c>
      <c r="M60" s="1104" t="s">
        <v>464</v>
      </c>
      <c r="N60" s="606" t="s">
        <v>607</v>
      </c>
    </row>
    <row r="61" spans="1:14" ht="18" customHeight="1">
      <c r="A61" s="605" t="s">
        <v>608</v>
      </c>
      <c r="B61" s="2576">
        <v>35</v>
      </c>
      <c r="C61" s="74">
        <f>(D61*1000)/B61</f>
        <v>1314.2857142857142</v>
      </c>
      <c r="D61" s="2434">
        <v>46</v>
      </c>
      <c r="E61" s="1105">
        <f>23+1</f>
        <v>24</v>
      </c>
      <c r="F61" s="74">
        <f>(G61*1000)/E61</f>
        <v>1333.3333333333333</v>
      </c>
      <c r="G61" s="610">
        <v>32</v>
      </c>
      <c r="H61" s="1106">
        <f>2+63</f>
        <v>65</v>
      </c>
      <c r="I61" s="74">
        <f>(J61*1000)/H61</f>
        <v>1569.2307692307693</v>
      </c>
      <c r="J61" s="610">
        <v>102</v>
      </c>
      <c r="K61" s="1102" t="s">
        <v>464</v>
      </c>
      <c r="L61" s="1103" t="s">
        <v>464</v>
      </c>
      <c r="M61" s="1104" t="s">
        <v>464</v>
      </c>
      <c r="N61" s="606" t="s">
        <v>608</v>
      </c>
    </row>
    <row r="62" spans="1:14" s="12" customFormat="1" ht="18" customHeight="1">
      <c r="A62" s="618"/>
      <c r="B62" s="2577"/>
      <c r="C62" s="620"/>
      <c r="D62" s="2437"/>
      <c r="E62" s="1100"/>
      <c r="F62" s="620"/>
      <c r="G62" s="621"/>
      <c r="H62" s="1101"/>
      <c r="I62" s="620"/>
      <c r="J62" s="621"/>
      <c r="K62" s="619"/>
      <c r="L62" s="620"/>
      <c r="M62" s="621"/>
      <c r="N62" s="622"/>
    </row>
    <row r="63" spans="1:14" ht="20.25" customHeight="1">
      <c r="A63" s="618" t="s">
        <v>1286</v>
      </c>
      <c r="B63" s="2575">
        <f>SUM(B64:B65)</f>
        <v>348</v>
      </c>
      <c r="C63" s="600">
        <f>(D63*1000)/B63</f>
        <v>1537.3563218390805</v>
      </c>
      <c r="D63" s="2437">
        <f>SUM(D64:D65)</f>
        <v>535</v>
      </c>
      <c r="E63" s="1100">
        <f>SUM(E64:E65)</f>
        <v>363</v>
      </c>
      <c r="F63" s="600">
        <f>(G63*1000)/E63</f>
        <v>1380.1652892561983</v>
      </c>
      <c r="G63" s="621">
        <f>SUM(G64:G65)</f>
        <v>501</v>
      </c>
      <c r="H63" s="1101">
        <f>SUM(H64:H65)</f>
        <v>241</v>
      </c>
      <c r="I63" s="600">
        <f>(J63*1000)/H63</f>
        <v>1286.3070539419086</v>
      </c>
      <c r="J63" s="621">
        <f>SUM(J64:J65)</f>
        <v>310</v>
      </c>
      <c r="K63" s="619">
        <f>SUM(K64:K65)</f>
        <v>329</v>
      </c>
      <c r="L63" s="600">
        <f>(M63*1000)/K63</f>
        <v>957.4468085106383</v>
      </c>
      <c r="M63" s="621">
        <f>SUM(M64:M65)</f>
        <v>315</v>
      </c>
      <c r="N63" s="612" t="s">
        <v>1286</v>
      </c>
    </row>
    <row r="64" spans="1:14" ht="18" customHeight="1">
      <c r="A64" s="613" t="s">
        <v>586</v>
      </c>
      <c r="B64" s="2576">
        <v>117</v>
      </c>
      <c r="C64" s="74">
        <f>(D64*1000)/B64</f>
        <v>1581.1965811965813</v>
      </c>
      <c r="D64" s="2438">
        <v>185</v>
      </c>
      <c r="E64" s="1105">
        <f>61+21+35+2</f>
        <v>119</v>
      </c>
      <c r="F64" s="74">
        <f>(G64*1000)/E64</f>
        <v>1369.7478991596638</v>
      </c>
      <c r="G64" s="616">
        <f>116+23+23.5+0.5</f>
        <v>163</v>
      </c>
      <c r="H64" s="1106">
        <v>108</v>
      </c>
      <c r="I64" s="74">
        <f>(J64*1000)/H64</f>
        <v>1342.5925925925926</v>
      </c>
      <c r="J64" s="616">
        <v>145</v>
      </c>
      <c r="K64" s="614">
        <v>91</v>
      </c>
      <c r="L64" s="74">
        <f>(M64*1000)/K64</f>
        <v>956.0439560439561</v>
      </c>
      <c r="M64" s="616">
        <v>87</v>
      </c>
      <c r="N64" s="606" t="s">
        <v>586</v>
      </c>
    </row>
    <row r="65" spans="1:14" ht="18" customHeight="1">
      <c r="A65" s="613" t="s">
        <v>587</v>
      </c>
      <c r="B65" s="2427">
        <v>231</v>
      </c>
      <c r="C65" s="2236">
        <f>(D65*1000)/B65</f>
        <v>1515.1515151515152</v>
      </c>
      <c r="D65" s="2439">
        <v>350</v>
      </c>
      <c r="E65" s="1105">
        <f>123+68+49+4</f>
        <v>244</v>
      </c>
      <c r="F65" s="74">
        <f>(G65*1000)/E65</f>
        <v>1385.2459016393443</v>
      </c>
      <c r="G65" s="616">
        <f>243+67+26+2</f>
        <v>338</v>
      </c>
      <c r="H65" s="1106">
        <v>133</v>
      </c>
      <c r="I65" s="74">
        <f>(J65*1000)/H65</f>
        <v>1240.6015037593984</v>
      </c>
      <c r="J65" s="616">
        <v>165</v>
      </c>
      <c r="K65" s="614">
        <v>238</v>
      </c>
      <c r="L65" s="74">
        <f>(M65*1000)/K65</f>
        <v>957.9831932773109</v>
      </c>
      <c r="M65" s="616">
        <v>228</v>
      </c>
      <c r="N65" s="606" t="s">
        <v>587</v>
      </c>
    </row>
    <row r="66" spans="1:14" ht="18" customHeight="1">
      <c r="A66" s="613"/>
      <c r="B66" s="2574"/>
      <c r="C66" s="615"/>
      <c r="D66" s="2438"/>
      <c r="E66" s="641"/>
      <c r="F66" s="615"/>
      <c r="G66" s="616"/>
      <c r="H66" s="1102"/>
      <c r="I66" s="615"/>
      <c r="J66" s="616"/>
      <c r="K66" s="614"/>
      <c r="L66" s="615"/>
      <c r="M66" s="616"/>
      <c r="N66" s="606"/>
    </row>
    <row r="67" spans="1:14" ht="18" customHeight="1">
      <c r="A67" s="618" t="s">
        <v>1287</v>
      </c>
      <c r="B67" s="2575">
        <f>SUM(B68:B70)</f>
        <v>20</v>
      </c>
      <c r="C67" s="600">
        <f>(D67*1000)/B67</f>
        <v>1300</v>
      </c>
      <c r="D67" s="2437">
        <f>SUM(D68:D70)</f>
        <v>26</v>
      </c>
      <c r="E67" s="1100">
        <f>SUM(E68:E70)</f>
        <v>110.5</v>
      </c>
      <c r="F67" s="600">
        <f>(G67*1000)/E67</f>
        <v>1438.9140271493213</v>
      </c>
      <c r="G67" s="621">
        <f>SUM(G68:G70)</f>
        <v>159</v>
      </c>
      <c r="H67" s="1101">
        <f>SUM(H68:H70)</f>
        <v>53</v>
      </c>
      <c r="I67" s="600">
        <f>(J67*1000)/H67</f>
        <v>1254.7169811320755</v>
      </c>
      <c r="J67" s="621">
        <f>SUM(J68:J70)</f>
        <v>66.5</v>
      </c>
      <c r="K67" s="619">
        <f>SUM(K68:K70)</f>
        <v>17</v>
      </c>
      <c r="L67" s="600">
        <f>(M67*1000)/K67</f>
        <v>1117.6470588235295</v>
      </c>
      <c r="M67" s="621">
        <f>SUM(M68:M70)</f>
        <v>19</v>
      </c>
      <c r="N67" s="612" t="s">
        <v>1287</v>
      </c>
    </row>
    <row r="68" spans="1:14" ht="18" customHeight="1">
      <c r="A68" s="613" t="s">
        <v>1273</v>
      </c>
      <c r="B68" s="1229" t="s">
        <v>464</v>
      </c>
      <c r="C68" s="1071" t="s">
        <v>464</v>
      </c>
      <c r="D68" s="1846" t="s">
        <v>464</v>
      </c>
      <c r="E68" s="1102">
        <f>1+8.5</f>
        <v>9.5</v>
      </c>
      <c r="F68" s="74">
        <f>(G68*1000)/E68</f>
        <v>1368.421052631579</v>
      </c>
      <c r="G68" s="1103">
        <v>13</v>
      </c>
      <c r="H68" s="1102">
        <v>1</v>
      </c>
      <c r="I68" s="74">
        <f>(J68*1000)/H68</f>
        <v>1500</v>
      </c>
      <c r="J68" s="1856">
        <v>1.5</v>
      </c>
      <c r="K68" s="1102" t="s">
        <v>464</v>
      </c>
      <c r="L68" s="1103" t="s">
        <v>464</v>
      </c>
      <c r="M68" s="1104" t="s">
        <v>464</v>
      </c>
      <c r="N68" s="606" t="s">
        <v>1273</v>
      </c>
    </row>
    <row r="69" spans="1:14" ht="18" customHeight="1">
      <c r="A69" s="613" t="s">
        <v>596</v>
      </c>
      <c r="B69" s="2576">
        <v>1</v>
      </c>
      <c r="C69" s="74">
        <f>(D69*1000)/B69</f>
        <v>1000</v>
      </c>
      <c r="D69" s="2438">
        <v>1</v>
      </c>
      <c r="E69" s="1102" t="s">
        <v>464</v>
      </c>
      <c r="F69" s="1103" t="s">
        <v>464</v>
      </c>
      <c r="G69" s="1103" t="s">
        <v>464</v>
      </c>
      <c r="H69" s="1106">
        <f>6+2</f>
        <v>8</v>
      </c>
      <c r="I69" s="74">
        <f>(J69*1000)/H69</f>
        <v>1125</v>
      </c>
      <c r="J69" s="616">
        <v>9</v>
      </c>
      <c r="K69" s="614">
        <v>4</v>
      </c>
      <c r="L69" s="74">
        <f>(M69*1000)/K69</f>
        <v>1000</v>
      </c>
      <c r="M69" s="616">
        <v>4</v>
      </c>
      <c r="N69" s="606" t="s">
        <v>596</v>
      </c>
    </row>
    <row r="70" spans="1:14" ht="18" customHeight="1" thickBot="1">
      <c r="A70" s="623" t="s">
        <v>595</v>
      </c>
      <c r="B70" s="2578">
        <v>19</v>
      </c>
      <c r="C70" s="130">
        <f>(D70*1000)/B70</f>
        <v>1315.7894736842106</v>
      </c>
      <c r="D70" s="2440">
        <v>25</v>
      </c>
      <c r="E70" s="1107">
        <f>42+59</f>
        <v>101</v>
      </c>
      <c r="F70" s="130">
        <f>(G70*1000)/E70</f>
        <v>1445.5445544554455</v>
      </c>
      <c r="G70" s="625">
        <v>146</v>
      </c>
      <c r="H70" s="2768">
        <v>44</v>
      </c>
      <c r="I70" s="130">
        <f>(J70*1000)/H70</f>
        <v>1272.7272727272727</v>
      </c>
      <c r="J70" s="625">
        <v>56</v>
      </c>
      <c r="K70" s="624">
        <v>13</v>
      </c>
      <c r="L70" s="130">
        <f>(M70*1000)/K70</f>
        <v>1153.8461538461538</v>
      </c>
      <c r="M70" s="625">
        <v>15</v>
      </c>
      <c r="N70" s="626" t="s">
        <v>595</v>
      </c>
    </row>
    <row r="71" spans="1:14" ht="16.5" customHeight="1">
      <c r="A71" s="583" t="s">
        <v>650</v>
      </c>
      <c r="B71" s="583"/>
      <c r="C71" s="11"/>
      <c r="D71" s="583"/>
      <c r="E71" s="583"/>
      <c r="F71" s="11"/>
      <c r="G71" s="583"/>
      <c r="H71" s="583"/>
      <c r="I71" s="11"/>
      <c r="J71" s="583"/>
      <c r="K71" s="583"/>
      <c r="L71" s="583"/>
      <c r="M71" s="583"/>
      <c r="N71" s="583"/>
    </row>
  </sheetData>
  <sheetProtection/>
  <mergeCells count="5">
    <mergeCell ref="K40:M40"/>
    <mergeCell ref="B3:D3"/>
    <mergeCell ref="E3:G3"/>
    <mergeCell ref="H3:J3"/>
    <mergeCell ref="K3:M3"/>
  </mergeCells>
  <printOptions/>
  <pageMargins left="0.81" right="1" top="1" bottom="1" header="0.5" footer="0.5"/>
  <pageSetup horizontalDpi="300" verticalDpi="3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2"/>
  <sheetViews>
    <sheetView zoomScale="65" zoomScaleNormal="65" zoomScalePageLayoutView="0" workbookViewId="0" topLeftCell="A4">
      <selection activeCell="N25" sqref="N25"/>
    </sheetView>
  </sheetViews>
  <sheetFormatPr defaultColWidth="9.140625" defaultRowHeight="12.75"/>
  <cols>
    <col min="1" max="1" width="22.28125" style="23" customWidth="1"/>
    <col min="2" max="2" width="11.28125" style="1967" customWidth="1"/>
    <col min="3" max="3" width="9.57421875" style="0" customWidth="1"/>
    <col min="4" max="4" width="15.7109375" style="1967" customWidth="1"/>
    <col min="5" max="5" width="11.28125" style="23" customWidth="1"/>
    <col min="6" max="6" width="9.28125" style="10" bestFit="1" customWidth="1"/>
    <col min="7" max="7" width="14.8515625" style="23" customWidth="1"/>
    <col min="8" max="8" width="10.57421875" style="23" customWidth="1"/>
    <col min="9" max="9" width="11.8515625" style="10" bestFit="1" customWidth="1"/>
    <col min="10" max="10" width="14.7109375" style="23" customWidth="1"/>
    <col min="11" max="11" width="21.7109375" style="13" customWidth="1"/>
    <col min="12" max="16384" width="9.140625" style="23" customWidth="1"/>
  </cols>
  <sheetData>
    <row r="1" spans="1:11" ht="20.25">
      <c r="A1" s="1054" t="s">
        <v>651</v>
      </c>
      <c r="B1" s="2663"/>
      <c r="C1" s="2664"/>
      <c r="D1" s="2663"/>
      <c r="E1" s="583"/>
      <c r="F1" s="11"/>
      <c r="G1" s="583"/>
      <c r="H1" s="583"/>
      <c r="I1" s="11"/>
      <c r="J1" s="583"/>
      <c r="K1" s="584"/>
    </row>
    <row r="2" spans="1:11" ht="12.75" customHeight="1" thickBot="1">
      <c r="A2" s="583"/>
      <c r="B2" s="2663"/>
      <c r="C2" s="2664"/>
      <c r="D2" s="2663"/>
      <c r="E2" s="583"/>
      <c r="F2" s="11"/>
      <c r="G2" s="583"/>
      <c r="H2" s="583"/>
      <c r="I2" s="11"/>
      <c r="J2" s="583"/>
      <c r="K2" s="584"/>
    </row>
    <row r="3" spans="1:11" ht="22.5" customHeight="1" thickBot="1">
      <c r="A3" s="1055"/>
      <c r="B3" s="2665" t="s">
        <v>387</v>
      </c>
      <c r="C3" s="2666"/>
      <c r="D3" s="2667"/>
      <c r="E3" s="1108" t="s">
        <v>652</v>
      </c>
      <c r="F3" s="588"/>
      <c r="G3" s="1109"/>
      <c r="H3" s="1108" t="s">
        <v>653</v>
      </c>
      <c r="I3" s="588"/>
      <c r="J3" s="1110"/>
      <c r="K3" s="1056"/>
    </row>
    <row r="4" spans="1:11" ht="22.5" customHeight="1">
      <c r="A4" s="1057" t="s">
        <v>566</v>
      </c>
      <c r="B4" s="1058" t="s">
        <v>648</v>
      </c>
      <c r="C4" s="592" t="s">
        <v>568</v>
      </c>
      <c r="D4" s="1058" t="s">
        <v>569</v>
      </c>
      <c r="E4" s="1058" t="s">
        <v>567</v>
      </c>
      <c r="F4" s="592" t="s">
        <v>568</v>
      </c>
      <c r="G4" s="1058" t="s">
        <v>569</v>
      </c>
      <c r="H4" s="1058" t="s">
        <v>567</v>
      </c>
      <c r="I4" s="592" t="s">
        <v>568</v>
      </c>
      <c r="J4" s="1058" t="s">
        <v>569</v>
      </c>
      <c r="K4" s="1059" t="s">
        <v>570</v>
      </c>
    </row>
    <row r="5" spans="1:11" ht="22.5" customHeight="1">
      <c r="A5" s="1057" t="s">
        <v>571</v>
      </c>
      <c r="B5" s="1060" t="s">
        <v>572</v>
      </c>
      <c r="C5" s="593" t="s">
        <v>573</v>
      </c>
      <c r="D5" s="1060" t="s">
        <v>574</v>
      </c>
      <c r="E5" s="1060" t="s">
        <v>572</v>
      </c>
      <c r="F5" s="593" t="s">
        <v>573</v>
      </c>
      <c r="G5" s="1060" t="s">
        <v>574</v>
      </c>
      <c r="H5" s="1060" t="s">
        <v>572</v>
      </c>
      <c r="I5" s="593" t="s">
        <v>573</v>
      </c>
      <c r="J5" s="1060" t="s">
        <v>574</v>
      </c>
      <c r="K5" s="1059" t="s">
        <v>575</v>
      </c>
    </row>
    <row r="6" spans="1:11" ht="22.5" customHeight="1" thickBot="1">
      <c r="A6" s="1061"/>
      <c r="B6" s="1062" t="s">
        <v>444</v>
      </c>
      <c r="C6" s="594" t="s">
        <v>576</v>
      </c>
      <c r="D6" s="1062" t="s">
        <v>577</v>
      </c>
      <c r="E6" s="1062" t="s">
        <v>444</v>
      </c>
      <c r="F6" s="594" t="s">
        <v>576</v>
      </c>
      <c r="G6" s="1062" t="s">
        <v>577</v>
      </c>
      <c r="H6" s="1062" t="s">
        <v>444</v>
      </c>
      <c r="I6" s="594" t="s">
        <v>576</v>
      </c>
      <c r="J6" s="1062" t="s">
        <v>577</v>
      </c>
      <c r="K6" s="1096"/>
    </row>
    <row r="7" spans="1:11" s="12" customFormat="1" ht="21" thickBot="1">
      <c r="A7" s="1064" t="s">
        <v>578</v>
      </c>
      <c r="B7" s="1821">
        <f>SUM(B13+B20+B26+B30)</f>
        <v>1007</v>
      </c>
      <c r="C7" s="1823">
        <f>(D7*1000)/B7</f>
        <v>682.9692154915591</v>
      </c>
      <c r="D7" s="2709">
        <f>SUM(D13+D20+D26+D30)</f>
        <v>687.75</v>
      </c>
      <c r="E7" s="590">
        <f>SUM(E13+E26)</f>
        <v>136</v>
      </c>
      <c r="F7" s="596">
        <f>(G7*1000)/E7</f>
        <v>4264.705882352941</v>
      </c>
      <c r="G7" s="588">
        <f>SUM(G13+G26)</f>
        <v>580</v>
      </c>
      <c r="H7" s="2800">
        <f>SUM(H13+H26+H20+H30)</f>
        <v>16.5</v>
      </c>
      <c r="I7" s="596">
        <f>(J7*1000)/H7</f>
        <v>2442.4242424242425</v>
      </c>
      <c r="J7" s="2770">
        <f>SUM(J13+J26+J20+J30)</f>
        <v>40.3</v>
      </c>
      <c r="K7" s="1065" t="s">
        <v>579</v>
      </c>
    </row>
    <row r="8" spans="1:11" s="12" customFormat="1" ht="18" customHeight="1">
      <c r="A8" s="598" t="s">
        <v>580</v>
      </c>
      <c r="B8" s="1824" t="s">
        <v>464</v>
      </c>
      <c r="C8" s="2710" t="s">
        <v>464</v>
      </c>
      <c r="D8" s="2711" t="s">
        <v>464</v>
      </c>
      <c r="E8" s="1112" t="s">
        <v>464</v>
      </c>
      <c r="F8" s="1112" t="s">
        <v>464</v>
      </c>
      <c r="G8" s="1112" t="s">
        <v>464</v>
      </c>
      <c r="H8" s="1069" t="s">
        <v>464</v>
      </c>
      <c r="I8" s="1067" t="s">
        <v>464</v>
      </c>
      <c r="J8" s="1070" t="s">
        <v>464</v>
      </c>
      <c r="K8" s="604" t="s">
        <v>581</v>
      </c>
    </row>
    <row r="9" spans="1:11" ht="18" customHeight="1">
      <c r="A9" s="605" t="s">
        <v>582</v>
      </c>
      <c r="B9" s="1826" t="s">
        <v>464</v>
      </c>
      <c r="C9" s="80" t="s">
        <v>464</v>
      </c>
      <c r="D9" s="2712" t="s">
        <v>464</v>
      </c>
      <c r="E9" s="1067" t="s">
        <v>464</v>
      </c>
      <c r="F9" s="1067" t="s">
        <v>464</v>
      </c>
      <c r="G9" s="1067" t="s">
        <v>464</v>
      </c>
      <c r="H9" s="1069" t="s">
        <v>464</v>
      </c>
      <c r="I9" s="1067" t="s">
        <v>464</v>
      </c>
      <c r="J9" s="1070" t="s">
        <v>464</v>
      </c>
      <c r="K9" s="606" t="s">
        <v>583</v>
      </c>
    </row>
    <row r="10" spans="1:11" ht="18" customHeight="1">
      <c r="A10" s="605" t="s">
        <v>584</v>
      </c>
      <c r="B10" s="1826" t="s">
        <v>464</v>
      </c>
      <c r="C10" s="80" t="s">
        <v>464</v>
      </c>
      <c r="D10" s="2712" t="s">
        <v>464</v>
      </c>
      <c r="E10" s="1067" t="s">
        <v>464</v>
      </c>
      <c r="F10" s="1067" t="s">
        <v>464</v>
      </c>
      <c r="G10" s="1067" t="s">
        <v>464</v>
      </c>
      <c r="H10" s="1069" t="s">
        <v>464</v>
      </c>
      <c r="I10" s="1067" t="s">
        <v>464</v>
      </c>
      <c r="J10" s="1070" t="s">
        <v>464</v>
      </c>
      <c r="K10" s="606" t="s">
        <v>584</v>
      </c>
    </row>
    <row r="11" spans="1:11" ht="18" customHeight="1">
      <c r="A11" s="605" t="s">
        <v>585</v>
      </c>
      <c r="B11" s="1826" t="s">
        <v>464</v>
      </c>
      <c r="C11" s="80" t="s">
        <v>464</v>
      </c>
      <c r="D11" s="2712" t="s">
        <v>464</v>
      </c>
      <c r="E11" s="1067" t="s">
        <v>464</v>
      </c>
      <c r="F11" s="1067" t="s">
        <v>464</v>
      </c>
      <c r="G11" s="1067" t="s">
        <v>464</v>
      </c>
      <c r="H11" s="1069" t="s">
        <v>464</v>
      </c>
      <c r="I11" s="1067" t="s">
        <v>464</v>
      </c>
      <c r="J11" s="1070" t="s">
        <v>464</v>
      </c>
      <c r="K11" s="606" t="s">
        <v>585</v>
      </c>
    </row>
    <row r="12" spans="1:11" ht="18" customHeight="1">
      <c r="A12" s="605"/>
      <c r="B12" s="2661"/>
      <c r="C12" s="131"/>
      <c r="D12" s="2712"/>
      <c r="E12" s="1857"/>
      <c r="F12" s="74"/>
      <c r="G12" s="610"/>
      <c r="H12" s="609"/>
      <c r="I12" s="74"/>
      <c r="J12" s="610"/>
      <c r="K12" s="606"/>
    </row>
    <row r="13" spans="1:11" ht="18" customHeight="1">
      <c r="A13" s="611" t="s">
        <v>588</v>
      </c>
      <c r="B13" s="2713">
        <f>SUM(B14:B18)</f>
        <v>446</v>
      </c>
      <c r="C13" s="80">
        <f>(D13*1000)/B13</f>
        <v>778.0269058295964</v>
      </c>
      <c r="D13" s="2712">
        <f>SUM(D14:D18)</f>
        <v>347</v>
      </c>
      <c r="E13" s="1859">
        <f>SUM(E14:E18)</f>
        <v>8</v>
      </c>
      <c r="F13" s="600">
        <f>(G13*1000)/E13</f>
        <v>4375</v>
      </c>
      <c r="G13" s="601">
        <f>SUM(G14:G18)</f>
        <v>35</v>
      </c>
      <c r="H13" s="599">
        <f>SUM(H14:H18)</f>
        <v>10</v>
      </c>
      <c r="I13" s="600">
        <f>(J13*1000)/H13</f>
        <v>2550</v>
      </c>
      <c r="J13" s="1113">
        <f>SUM(J14:J18)</f>
        <v>25.5</v>
      </c>
      <c r="K13" s="612" t="s">
        <v>589</v>
      </c>
    </row>
    <row r="14" spans="1:11" ht="18" customHeight="1">
      <c r="A14" s="605" t="s">
        <v>590</v>
      </c>
      <c r="B14" s="2661">
        <f>5+15</f>
        <v>20</v>
      </c>
      <c r="C14" s="80">
        <f>(D14*1000)/B14</f>
        <v>750</v>
      </c>
      <c r="D14" s="2712">
        <v>15</v>
      </c>
      <c r="E14" s="1067" t="s">
        <v>464</v>
      </c>
      <c r="F14" s="1067" t="s">
        <v>464</v>
      </c>
      <c r="G14" s="1067" t="s">
        <v>464</v>
      </c>
      <c r="H14" s="1069" t="s">
        <v>464</v>
      </c>
      <c r="I14" s="1067" t="s">
        <v>464</v>
      </c>
      <c r="J14" s="1070" t="s">
        <v>464</v>
      </c>
      <c r="K14" s="606" t="s">
        <v>591</v>
      </c>
    </row>
    <row r="15" spans="1:11" s="12" customFormat="1" ht="18" customHeight="1">
      <c r="A15" s="605" t="s">
        <v>592</v>
      </c>
      <c r="B15" s="1837">
        <v>1</v>
      </c>
      <c r="C15" s="131">
        <f>(D15*1000)/B15</f>
        <v>1000</v>
      </c>
      <c r="D15" s="2712">
        <v>1</v>
      </c>
      <c r="E15" s="1067" t="s">
        <v>464</v>
      </c>
      <c r="F15" s="1067" t="s">
        <v>464</v>
      </c>
      <c r="G15" s="1067" t="s">
        <v>464</v>
      </c>
      <c r="H15" s="607">
        <v>1</v>
      </c>
      <c r="I15" s="74">
        <f>(J15*1000)/H15</f>
        <v>3000</v>
      </c>
      <c r="J15" s="1802">
        <v>3</v>
      </c>
      <c r="K15" s="606" t="s">
        <v>593</v>
      </c>
    </row>
    <row r="16" spans="1:11" ht="18" customHeight="1">
      <c r="A16" s="605" t="s">
        <v>594</v>
      </c>
      <c r="B16" s="2713">
        <v>425</v>
      </c>
      <c r="C16" s="131">
        <f>(D16*1000)/B16</f>
        <v>778.8235294117648</v>
      </c>
      <c r="D16" s="2712">
        <v>331</v>
      </c>
      <c r="E16" s="1857">
        <v>8</v>
      </c>
      <c r="F16" s="74">
        <f>(G16*1000)/E16</f>
        <v>4375</v>
      </c>
      <c r="G16" s="610">
        <v>35</v>
      </c>
      <c r="H16" s="609">
        <v>9</v>
      </c>
      <c r="I16" s="74">
        <f>(J16*1000)/H16</f>
        <v>2500</v>
      </c>
      <c r="J16" s="1803">
        <v>22.5</v>
      </c>
      <c r="K16" s="606" t="s">
        <v>594</v>
      </c>
    </row>
    <row r="17" spans="1:11" ht="18" customHeight="1">
      <c r="A17" s="605" t="s">
        <v>599</v>
      </c>
      <c r="B17" s="1837" t="s">
        <v>464</v>
      </c>
      <c r="C17" s="80" t="s">
        <v>464</v>
      </c>
      <c r="D17" s="2712" t="s">
        <v>464</v>
      </c>
      <c r="E17" s="1067" t="s">
        <v>464</v>
      </c>
      <c r="F17" s="1067" t="s">
        <v>464</v>
      </c>
      <c r="G17" s="1067" t="s">
        <v>464</v>
      </c>
      <c r="H17" s="1069" t="s">
        <v>464</v>
      </c>
      <c r="I17" s="1067" t="s">
        <v>464</v>
      </c>
      <c r="J17" s="1070" t="s">
        <v>464</v>
      </c>
      <c r="K17" s="606" t="s">
        <v>599</v>
      </c>
    </row>
    <row r="18" spans="1:11" ht="18" customHeight="1">
      <c r="A18" s="605" t="s">
        <v>598</v>
      </c>
      <c r="B18" s="1837" t="s">
        <v>464</v>
      </c>
      <c r="C18" s="80" t="s">
        <v>464</v>
      </c>
      <c r="D18" s="2712" t="s">
        <v>464</v>
      </c>
      <c r="E18" s="1067" t="s">
        <v>464</v>
      </c>
      <c r="F18" s="1067" t="s">
        <v>464</v>
      </c>
      <c r="G18" s="1067" t="s">
        <v>464</v>
      </c>
      <c r="H18" s="1069" t="s">
        <v>464</v>
      </c>
      <c r="I18" s="1067" t="s">
        <v>464</v>
      </c>
      <c r="J18" s="1070" t="s">
        <v>464</v>
      </c>
      <c r="K18" s="606" t="s">
        <v>598</v>
      </c>
    </row>
    <row r="19" spans="1:11" ht="18" customHeight="1">
      <c r="A19" s="613"/>
      <c r="B19" s="2661"/>
      <c r="C19" s="80"/>
      <c r="D19" s="2712"/>
      <c r="E19" s="1075"/>
      <c r="F19" s="615"/>
      <c r="G19" s="616"/>
      <c r="H19" s="614"/>
      <c r="I19" s="615"/>
      <c r="J19" s="616"/>
      <c r="K19" s="606"/>
    </row>
    <row r="20" spans="1:11" ht="18" customHeight="1">
      <c r="A20" s="611" t="s">
        <v>601</v>
      </c>
      <c r="B20" s="2713">
        <f>SUM(B21:B24)</f>
        <v>38</v>
      </c>
      <c r="C20" s="80">
        <f>(D20*1000)/B20</f>
        <v>578.9473684210526</v>
      </c>
      <c r="D20" s="2712">
        <f>SUM(D21:D24)</f>
        <v>22</v>
      </c>
      <c r="E20" s="1067" t="s">
        <v>464</v>
      </c>
      <c r="F20" s="1067" t="s">
        <v>464</v>
      </c>
      <c r="G20" s="1067" t="s">
        <v>464</v>
      </c>
      <c r="H20" s="1069">
        <f>SUM(H21:H24)</f>
        <v>1</v>
      </c>
      <c r="I20" s="2400">
        <f>(J20*1000)/H20</f>
        <v>2500</v>
      </c>
      <c r="J20" s="2769">
        <f>SUM(J21:J24)</f>
        <v>2.5</v>
      </c>
      <c r="K20" s="612" t="s">
        <v>602</v>
      </c>
    </row>
    <row r="21" spans="1:11" ht="18" customHeight="1">
      <c r="A21" s="605" t="s">
        <v>603</v>
      </c>
      <c r="B21" s="2661">
        <f>5+6</f>
        <v>11</v>
      </c>
      <c r="C21" s="80">
        <f>(D21*1000)/B21</f>
        <v>636.3636363636364</v>
      </c>
      <c r="D21" s="2712">
        <v>7</v>
      </c>
      <c r="E21" s="1067" t="s">
        <v>464</v>
      </c>
      <c r="F21" s="1067" t="s">
        <v>464</v>
      </c>
      <c r="G21" s="1067" t="s">
        <v>464</v>
      </c>
      <c r="H21" s="607">
        <v>1</v>
      </c>
      <c r="I21" s="2236">
        <f>(J21*1000)/H21</f>
        <v>2500</v>
      </c>
      <c r="J21" s="1802">
        <v>2.5</v>
      </c>
      <c r="K21" s="606" t="s">
        <v>604</v>
      </c>
    </row>
    <row r="22" spans="1:11" ht="18" customHeight="1">
      <c r="A22" s="605" t="s">
        <v>605</v>
      </c>
      <c r="B22" s="1837">
        <v>10</v>
      </c>
      <c r="C22" s="80" t="s">
        <v>464</v>
      </c>
      <c r="D22" s="2712" t="s">
        <v>464</v>
      </c>
      <c r="E22" s="1067" t="s">
        <v>464</v>
      </c>
      <c r="F22" s="1067" t="s">
        <v>464</v>
      </c>
      <c r="G22" s="1067" t="s">
        <v>464</v>
      </c>
      <c r="H22" s="1069" t="s">
        <v>464</v>
      </c>
      <c r="I22" s="1067" t="s">
        <v>464</v>
      </c>
      <c r="J22" s="1070" t="s">
        <v>464</v>
      </c>
      <c r="K22" s="606" t="s">
        <v>606</v>
      </c>
    </row>
    <row r="23" spans="1:11" ht="18" customHeight="1">
      <c r="A23" s="605" t="s">
        <v>607</v>
      </c>
      <c r="B23" s="1837" t="s">
        <v>464</v>
      </c>
      <c r="C23" s="80" t="s">
        <v>464</v>
      </c>
      <c r="D23" s="2712" t="s">
        <v>464</v>
      </c>
      <c r="E23" s="1067" t="s">
        <v>464</v>
      </c>
      <c r="F23" s="1067" t="s">
        <v>464</v>
      </c>
      <c r="G23" s="1067" t="s">
        <v>464</v>
      </c>
      <c r="H23" s="1069" t="s">
        <v>464</v>
      </c>
      <c r="I23" s="1067" t="s">
        <v>464</v>
      </c>
      <c r="J23" s="1070" t="s">
        <v>464</v>
      </c>
      <c r="K23" s="606" t="s">
        <v>607</v>
      </c>
    </row>
    <row r="24" spans="1:11" ht="18" customHeight="1">
      <c r="A24" s="605" t="s">
        <v>608</v>
      </c>
      <c r="B24" s="2661">
        <v>17</v>
      </c>
      <c r="C24" s="131">
        <f>(D24*1000)/B24</f>
        <v>882.3529411764706</v>
      </c>
      <c r="D24" s="2712">
        <v>15</v>
      </c>
      <c r="E24" s="1067" t="s">
        <v>464</v>
      </c>
      <c r="F24" s="1067" t="s">
        <v>464</v>
      </c>
      <c r="G24" s="1067" t="s">
        <v>464</v>
      </c>
      <c r="H24" s="1069" t="s">
        <v>464</v>
      </c>
      <c r="I24" s="1067" t="s">
        <v>464</v>
      </c>
      <c r="J24" s="1070" t="s">
        <v>464</v>
      </c>
      <c r="K24" s="606" t="s">
        <v>608</v>
      </c>
    </row>
    <row r="25" spans="1:11" s="12" customFormat="1" ht="18" customHeight="1">
      <c r="A25" s="618"/>
      <c r="B25" s="2661"/>
      <c r="C25" s="80"/>
      <c r="D25" s="2712"/>
      <c r="E25" s="620"/>
      <c r="F25" s="620"/>
      <c r="G25" s="621"/>
      <c r="H25" s="619"/>
      <c r="I25" s="620"/>
      <c r="J25" s="621"/>
      <c r="K25" s="622"/>
    </row>
    <row r="26" spans="1:11" ht="18" customHeight="1">
      <c r="A26" s="2399" t="s">
        <v>1286</v>
      </c>
      <c r="B26" s="2713">
        <f>SUM(B27:B28)</f>
        <v>463</v>
      </c>
      <c r="C26" s="80">
        <f>(D26*1000)/B26</f>
        <v>578.8336933045356</v>
      </c>
      <c r="D26" s="2712">
        <f>SUM(D27:D28)</f>
        <v>268</v>
      </c>
      <c r="E26" s="2418">
        <f>SUM(E27:E28)</f>
        <v>128</v>
      </c>
      <c r="F26" s="2400">
        <f>(G26*1000)/E26</f>
        <v>4257.8125</v>
      </c>
      <c r="G26" s="2401">
        <f>SUM(G27:G28)</f>
        <v>545</v>
      </c>
      <c r="H26" s="2403">
        <f>SUM(H27:H28)</f>
        <v>4.5</v>
      </c>
      <c r="I26" s="2400">
        <f>(J26*1000)/H26</f>
        <v>2288.8888888888887</v>
      </c>
      <c r="J26" s="2401">
        <f>SUM(J27:J28)</f>
        <v>10.3</v>
      </c>
      <c r="K26" s="612" t="s">
        <v>1286</v>
      </c>
    </row>
    <row r="27" spans="1:11" ht="18" customHeight="1">
      <c r="A27" s="1930" t="s">
        <v>586</v>
      </c>
      <c r="B27" s="2661">
        <f>126+49</f>
        <v>175</v>
      </c>
      <c r="C27" s="80">
        <f>(D27*1000)/B27</f>
        <v>640</v>
      </c>
      <c r="D27" s="2712">
        <v>112</v>
      </c>
      <c r="E27" s="2420">
        <v>90</v>
      </c>
      <c r="F27" s="2236">
        <f>(G27*1000)/E27</f>
        <v>4333.333333333333</v>
      </c>
      <c r="G27" s="2402">
        <v>390</v>
      </c>
      <c r="H27" s="2404">
        <v>3.5</v>
      </c>
      <c r="I27" s="2236">
        <f>(J27*1000)/H27</f>
        <v>2285.714285714286</v>
      </c>
      <c r="J27" s="2402">
        <v>8</v>
      </c>
      <c r="K27" s="606" t="s">
        <v>586</v>
      </c>
    </row>
    <row r="28" spans="1:11" ht="18" customHeight="1">
      <c r="A28" s="1930" t="s">
        <v>587</v>
      </c>
      <c r="B28" s="2661">
        <f>202+86</f>
        <v>288</v>
      </c>
      <c r="C28" s="80">
        <f>(D28*1000)/B28</f>
        <v>541.6666666666666</v>
      </c>
      <c r="D28" s="2712">
        <v>156</v>
      </c>
      <c r="E28" s="2420">
        <v>38</v>
      </c>
      <c r="F28" s="2236">
        <f>(G28*1000)/E28</f>
        <v>4078.9473684210525</v>
      </c>
      <c r="G28" s="2402">
        <v>155</v>
      </c>
      <c r="H28" s="2404">
        <v>1</v>
      </c>
      <c r="I28" s="2236">
        <f>(J28*1000)/H28</f>
        <v>2300</v>
      </c>
      <c r="J28" s="2402">
        <v>2.3</v>
      </c>
      <c r="K28" s="606" t="s">
        <v>587</v>
      </c>
    </row>
    <row r="29" spans="1:11" ht="18" customHeight="1">
      <c r="A29" s="613"/>
      <c r="B29" s="2661"/>
      <c r="C29" s="80"/>
      <c r="D29" s="2712"/>
      <c r="E29" s="1075"/>
      <c r="F29" s="615"/>
      <c r="G29" s="616"/>
      <c r="H29" s="614"/>
      <c r="I29" s="615"/>
      <c r="J29" s="616"/>
      <c r="K29" s="606"/>
    </row>
    <row r="30" spans="1:11" ht="18" customHeight="1">
      <c r="A30" s="618" t="s">
        <v>1287</v>
      </c>
      <c r="B30" s="2713">
        <f>SUM(B31:B33)</f>
        <v>60</v>
      </c>
      <c r="C30" s="80">
        <f>(D30*1000)/B30</f>
        <v>845.8333333333334</v>
      </c>
      <c r="D30" s="2712">
        <f>SUM(D31:D33)</f>
        <v>50.75</v>
      </c>
      <c r="E30" s="1067" t="s">
        <v>464</v>
      </c>
      <c r="F30" s="1067" t="s">
        <v>464</v>
      </c>
      <c r="G30" s="1067" t="s">
        <v>464</v>
      </c>
      <c r="H30" s="1069">
        <f>SUM(H31:H33)</f>
        <v>1</v>
      </c>
      <c r="I30" s="2400">
        <f>(J30*1000)/H30</f>
        <v>2000</v>
      </c>
      <c r="J30" s="1070">
        <f>SUM(J31:J33)</f>
        <v>2</v>
      </c>
      <c r="K30" s="612" t="s">
        <v>1287</v>
      </c>
    </row>
    <row r="31" spans="1:11" ht="18" customHeight="1">
      <c r="A31" s="613" t="s">
        <v>1273</v>
      </c>
      <c r="B31" s="1837">
        <v>1</v>
      </c>
      <c r="C31" s="80" t="s">
        <v>464</v>
      </c>
      <c r="D31" s="2712" t="s">
        <v>464</v>
      </c>
      <c r="E31" s="1067" t="s">
        <v>464</v>
      </c>
      <c r="F31" s="1067" t="s">
        <v>464</v>
      </c>
      <c r="G31" s="1067" t="s">
        <v>464</v>
      </c>
      <c r="H31" s="1069" t="s">
        <v>464</v>
      </c>
      <c r="I31" s="1067" t="s">
        <v>464</v>
      </c>
      <c r="J31" s="1070" t="s">
        <v>464</v>
      </c>
      <c r="K31" s="606" t="s">
        <v>1273</v>
      </c>
    </row>
    <row r="32" spans="1:11" ht="18" customHeight="1">
      <c r="A32" s="613" t="s">
        <v>596</v>
      </c>
      <c r="B32" s="2661">
        <v>1</v>
      </c>
      <c r="C32" s="131">
        <f>(D32*1000)/B32</f>
        <v>750</v>
      </c>
      <c r="D32" s="2712">
        <v>0.75</v>
      </c>
      <c r="E32" s="1067" t="s">
        <v>464</v>
      </c>
      <c r="F32" s="1067" t="s">
        <v>464</v>
      </c>
      <c r="G32" s="1067" t="s">
        <v>464</v>
      </c>
      <c r="H32" s="607">
        <v>1</v>
      </c>
      <c r="I32" s="2236">
        <f>(J32*1000)/H32</f>
        <v>2000</v>
      </c>
      <c r="J32" s="608">
        <v>2</v>
      </c>
      <c r="K32" s="606" t="s">
        <v>596</v>
      </c>
    </row>
    <row r="33" spans="1:11" ht="18" customHeight="1" thickBot="1">
      <c r="A33" s="623" t="s">
        <v>595</v>
      </c>
      <c r="B33" s="2713">
        <f>15+43</f>
        <v>58</v>
      </c>
      <c r="C33" s="2234">
        <f>(D33*1000)/B33</f>
        <v>862.0689655172414</v>
      </c>
      <c r="D33" s="2712">
        <v>50</v>
      </c>
      <c r="E33" s="1073" t="s">
        <v>464</v>
      </c>
      <c r="F33" s="1073" t="s">
        <v>464</v>
      </c>
      <c r="G33" s="1073" t="s">
        <v>464</v>
      </c>
      <c r="H33" s="1114" t="s">
        <v>464</v>
      </c>
      <c r="I33" s="1073" t="s">
        <v>464</v>
      </c>
      <c r="J33" s="1115" t="s">
        <v>464</v>
      </c>
      <c r="K33" s="626" t="s">
        <v>595</v>
      </c>
    </row>
    <row r="34" spans="1:11" ht="18.75" customHeight="1">
      <c r="A34" s="583" t="s">
        <v>1482</v>
      </c>
      <c r="B34" s="2663"/>
      <c r="C34" s="2664"/>
      <c r="D34" s="2663"/>
      <c r="E34" s="1076"/>
      <c r="F34" s="74"/>
      <c r="G34" s="1076"/>
      <c r="H34" s="1076"/>
      <c r="I34" s="74"/>
      <c r="J34" s="1076"/>
      <c r="K34" s="1077"/>
    </row>
    <row r="35" spans="1:11" ht="10.5" customHeight="1">
      <c r="A35" s="583" t="s">
        <v>1481</v>
      </c>
      <c r="B35" s="2663"/>
      <c r="C35" s="2664"/>
      <c r="D35" s="2663"/>
      <c r="E35" s="1076"/>
      <c r="F35" s="74"/>
      <c r="G35" s="1076"/>
      <c r="H35" s="1076"/>
      <c r="I35" s="74"/>
      <c r="J35" s="1076"/>
      <c r="K35" s="1077"/>
    </row>
    <row r="36" spans="1:11" ht="16.5" customHeight="1" hidden="1">
      <c r="A36" s="583"/>
      <c r="B36" s="2663"/>
      <c r="C36" s="2664"/>
      <c r="D36" s="2663"/>
      <c r="E36" s="1076"/>
      <c r="F36" s="74"/>
      <c r="G36" s="1076"/>
      <c r="H36" s="1076"/>
      <c r="I36" s="74"/>
      <c r="J36" s="1076"/>
      <c r="K36" s="1077"/>
    </row>
    <row r="37" spans="1:11" ht="16.5" customHeight="1" hidden="1">
      <c r="A37" s="583"/>
      <c r="B37" s="2663"/>
      <c r="C37" s="2663"/>
      <c r="D37" s="2663"/>
      <c r="E37" s="583"/>
      <c r="F37" s="11"/>
      <c r="G37" s="583"/>
      <c r="H37" s="583"/>
      <c r="I37" s="11"/>
      <c r="J37" s="583"/>
      <c r="K37" s="584"/>
    </row>
    <row r="38" spans="1:11" ht="16.5" customHeight="1" hidden="1">
      <c r="A38" s="583"/>
      <c r="B38" s="2663"/>
      <c r="C38" s="2663"/>
      <c r="D38" s="2663"/>
      <c r="E38" s="583"/>
      <c r="F38" s="11"/>
      <c r="G38" s="583"/>
      <c r="H38" s="583"/>
      <c r="I38" s="11"/>
      <c r="J38" s="583"/>
      <c r="K38" s="584"/>
    </row>
    <row r="39" spans="1:11" ht="9.75" customHeight="1">
      <c r="A39" s="583"/>
      <c r="B39" s="2663"/>
      <c r="C39" s="2663"/>
      <c r="D39" s="2663"/>
      <c r="E39" s="583"/>
      <c r="F39" s="11"/>
      <c r="G39" s="583"/>
      <c r="H39" s="583"/>
      <c r="I39" s="11"/>
      <c r="J39" s="583"/>
      <c r="K39" s="584"/>
    </row>
    <row r="40" spans="1:11" ht="20.25" customHeight="1" thickBot="1">
      <c r="A40" s="1054" t="s">
        <v>654</v>
      </c>
      <c r="B40" s="2663"/>
      <c r="C40" s="2664"/>
      <c r="D40" s="2663"/>
      <c r="E40" s="583"/>
      <c r="F40" s="11"/>
      <c r="G40" s="583"/>
      <c r="H40" s="583"/>
      <c r="I40" s="11"/>
      <c r="J40" s="583"/>
      <c r="K40" s="584"/>
    </row>
    <row r="41" spans="1:11" ht="23.25" customHeight="1" thickBot="1">
      <c r="A41" s="1116"/>
      <c r="B41" s="2670" t="s">
        <v>479</v>
      </c>
      <c r="C41" s="2671"/>
      <c r="D41" s="2672"/>
      <c r="E41" s="1108" t="s">
        <v>478</v>
      </c>
      <c r="F41" s="591"/>
      <c r="G41" s="1117"/>
      <c r="H41" s="1118"/>
      <c r="I41" s="591"/>
      <c r="J41" s="1110"/>
      <c r="K41" s="1056"/>
    </row>
    <row r="42" spans="1:11" ht="23.25" customHeight="1">
      <c r="A42" s="1057" t="s">
        <v>566</v>
      </c>
      <c r="B42" s="2668" t="s">
        <v>567</v>
      </c>
      <c r="C42" s="2673" t="s">
        <v>568</v>
      </c>
      <c r="D42" s="2668" t="s">
        <v>569</v>
      </c>
      <c r="E42" s="1058" t="s">
        <v>567</v>
      </c>
      <c r="F42" s="592" t="s">
        <v>568</v>
      </c>
      <c r="G42" s="1058" t="s">
        <v>569</v>
      </c>
      <c r="H42" s="1058" t="s">
        <v>567</v>
      </c>
      <c r="I42" s="592" t="s">
        <v>568</v>
      </c>
      <c r="J42" s="1058" t="s">
        <v>569</v>
      </c>
      <c r="K42" s="1059" t="s">
        <v>570</v>
      </c>
    </row>
    <row r="43" spans="1:11" ht="23.25" customHeight="1">
      <c r="A43" s="1057" t="s">
        <v>571</v>
      </c>
      <c r="B43" s="2669" t="s">
        <v>572</v>
      </c>
      <c r="C43" s="2674" t="s">
        <v>573</v>
      </c>
      <c r="D43" s="2669" t="s">
        <v>574</v>
      </c>
      <c r="E43" s="1060" t="s">
        <v>572</v>
      </c>
      <c r="F43" s="593" t="s">
        <v>573</v>
      </c>
      <c r="G43" s="1060" t="s">
        <v>574</v>
      </c>
      <c r="H43" s="1060" t="s">
        <v>572</v>
      </c>
      <c r="I43" s="593" t="s">
        <v>573</v>
      </c>
      <c r="J43" s="1060" t="s">
        <v>574</v>
      </c>
      <c r="K43" s="1059" t="s">
        <v>575</v>
      </c>
    </row>
    <row r="44" spans="1:11" ht="23.25" customHeight="1" thickBot="1">
      <c r="A44" s="1119"/>
      <c r="B44" s="2675" t="s">
        <v>444</v>
      </c>
      <c r="C44" s="2676" t="s">
        <v>576</v>
      </c>
      <c r="D44" s="2675" t="s">
        <v>577</v>
      </c>
      <c r="E44" s="1062" t="s">
        <v>444</v>
      </c>
      <c r="F44" s="594" t="s">
        <v>576</v>
      </c>
      <c r="G44" s="1062" t="s">
        <v>577</v>
      </c>
      <c r="H44" s="1061" t="s">
        <v>444</v>
      </c>
      <c r="I44" s="1120" t="s">
        <v>576</v>
      </c>
      <c r="J44" s="1061" t="s">
        <v>577</v>
      </c>
      <c r="K44" s="1063"/>
    </row>
    <row r="45" spans="1:11" s="12" customFormat="1" ht="22.5" customHeight="1" thickBot="1">
      <c r="A45" s="595" t="s">
        <v>578</v>
      </c>
      <c r="B45" s="2677">
        <f>SUM(B51+B58+B64+B68)</f>
        <v>310.5</v>
      </c>
      <c r="C45" s="2678">
        <f>(D45*1000)/B45</f>
        <v>3463.768115942029</v>
      </c>
      <c r="D45" s="2772">
        <f>SUM(D51+D58+D64+D68)</f>
        <v>1075.5</v>
      </c>
      <c r="E45" s="588">
        <f>SUM(E51+E58+E64+E68)</f>
        <v>41</v>
      </c>
      <c r="F45" s="596">
        <f>(G45*1000)/E45</f>
        <v>1487.8048780487804</v>
      </c>
      <c r="G45" s="589">
        <f>SUM(G51+G58+G64+G68)</f>
        <v>61</v>
      </c>
      <c r="H45" s="1121" t="s">
        <v>464</v>
      </c>
      <c r="I45" s="1122" t="s">
        <v>464</v>
      </c>
      <c r="J45" s="1123" t="s">
        <v>464</v>
      </c>
      <c r="K45" s="1124" t="s">
        <v>579</v>
      </c>
    </row>
    <row r="46" spans="1:11" s="12" customFormat="1" ht="18" customHeight="1">
      <c r="A46" s="598" t="s">
        <v>580</v>
      </c>
      <c r="B46" s="2771" t="s">
        <v>464</v>
      </c>
      <c r="C46" s="2679" t="s">
        <v>464</v>
      </c>
      <c r="D46" s="2680" t="s">
        <v>464</v>
      </c>
      <c r="E46" s="1069" t="s">
        <v>464</v>
      </c>
      <c r="F46" s="1067" t="s">
        <v>464</v>
      </c>
      <c r="G46" s="1067" t="s">
        <v>464</v>
      </c>
      <c r="H46" s="1111" t="s">
        <v>464</v>
      </c>
      <c r="I46" s="1112" t="s">
        <v>464</v>
      </c>
      <c r="J46" s="628" t="s">
        <v>464</v>
      </c>
      <c r="K46" s="604" t="s">
        <v>581</v>
      </c>
    </row>
    <row r="47" spans="1:11" ht="18" customHeight="1">
      <c r="A47" s="605" t="s">
        <v>582</v>
      </c>
      <c r="B47" s="2681" t="s">
        <v>464</v>
      </c>
      <c r="C47" s="2682" t="s">
        <v>464</v>
      </c>
      <c r="D47" s="2682" t="s">
        <v>464</v>
      </c>
      <c r="E47" s="1069" t="s">
        <v>464</v>
      </c>
      <c r="F47" s="1067" t="s">
        <v>464</v>
      </c>
      <c r="G47" s="1067" t="s">
        <v>464</v>
      </c>
      <c r="H47" s="1069" t="s">
        <v>464</v>
      </c>
      <c r="I47" s="1067" t="s">
        <v>464</v>
      </c>
      <c r="J47" s="1070" t="s">
        <v>464</v>
      </c>
      <c r="K47" s="606" t="s">
        <v>583</v>
      </c>
    </row>
    <row r="48" spans="1:11" ht="18" customHeight="1">
      <c r="A48" s="605" t="s">
        <v>584</v>
      </c>
      <c r="B48" s="2681" t="s">
        <v>464</v>
      </c>
      <c r="C48" s="2682" t="s">
        <v>464</v>
      </c>
      <c r="D48" s="2682" t="s">
        <v>464</v>
      </c>
      <c r="E48" s="1069" t="s">
        <v>464</v>
      </c>
      <c r="F48" s="1067" t="s">
        <v>464</v>
      </c>
      <c r="G48" s="1067" t="s">
        <v>464</v>
      </c>
      <c r="H48" s="1069" t="s">
        <v>464</v>
      </c>
      <c r="I48" s="1067" t="s">
        <v>464</v>
      </c>
      <c r="J48" s="1070" t="s">
        <v>464</v>
      </c>
      <c r="K48" s="606" t="s">
        <v>584</v>
      </c>
    </row>
    <row r="49" spans="1:11" ht="18" customHeight="1">
      <c r="A49" s="605" t="s">
        <v>585</v>
      </c>
      <c r="B49" s="2681" t="s">
        <v>464</v>
      </c>
      <c r="C49" s="2682" t="s">
        <v>464</v>
      </c>
      <c r="D49" s="2682" t="s">
        <v>464</v>
      </c>
      <c r="E49" s="1069" t="s">
        <v>464</v>
      </c>
      <c r="F49" s="1067" t="s">
        <v>464</v>
      </c>
      <c r="G49" s="1067" t="s">
        <v>464</v>
      </c>
      <c r="H49" s="1069" t="s">
        <v>464</v>
      </c>
      <c r="I49" s="1067" t="s">
        <v>464</v>
      </c>
      <c r="J49" s="1070" t="s">
        <v>464</v>
      </c>
      <c r="K49" s="606" t="s">
        <v>585</v>
      </c>
    </row>
    <row r="50" spans="1:11" ht="18" customHeight="1">
      <c r="A50" s="605"/>
      <c r="B50" s="2683"/>
      <c r="C50" s="2236"/>
      <c r="D50" s="2684"/>
      <c r="E50" s="609"/>
      <c r="F50" s="74"/>
      <c r="G50" s="610"/>
      <c r="H50" s="609"/>
      <c r="I50" s="74"/>
      <c r="J50" s="610"/>
      <c r="K50" s="606"/>
    </row>
    <row r="51" spans="1:11" ht="18" customHeight="1">
      <c r="A51" s="611" t="s">
        <v>588</v>
      </c>
      <c r="B51" s="2685">
        <f>SUM(B52:B56)</f>
        <v>44</v>
      </c>
      <c r="C51" s="2400">
        <f>(D51*1000)/B51</f>
        <v>3750</v>
      </c>
      <c r="D51" s="2686">
        <f>SUM(D52:D56)</f>
        <v>165</v>
      </c>
      <c r="E51" s="1069">
        <f>SUM(E52:E56)</f>
        <v>7</v>
      </c>
      <c r="F51" s="600">
        <f>(G51*1000)/E51</f>
        <v>1857.142857142857</v>
      </c>
      <c r="G51" s="1067">
        <f>SUM(G52:G56)</f>
        <v>13</v>
      </c>
      <c r="H51" s="1069" t="s">
        <v>464</v>
      </c>
      <c r="I51" s="1067" t="s">
        <v>464</v>
      </c>
      <c r="J51" s="1070" t="s">
        <v>464</v>
      </c>
      <c r="K51" s="612" t="s">
        <v>589</v>
      </c>
    </row>
    <row r="52" spans="1:11" ht="18" customHeight="1">
      <c r="A52" s="605" t="s">
        <v>590</v>
      </c>
      <c r="B52" s="2683">
        <v>33</v>
      </c>
      <c r="C52" s="2236">
        <f>(D52*1000)/B52</f>
        <v>3787.878787878788</v>
      </c>
      <c r="D52" s="2684">
        <v>125</v>
      </c>
      <c r="E52" s="607">
        <v>5</v>
      </c>
      <c r="F52" s="74">
        <f>(G52*1000)/E52</f>
        <v>1800</v>
      </c>
      <c r="G52" s="1071">
        <v>9</v>
      </c>
      <c r="H52" s="1069" t="s">
        <v>464</v>
      </c>
      <c r="I52" s="1067" t="s">
        <v>464</v>
      </c>
      <c r="J52" s="1070" t="s">
        <v>464</v>
      </c>
      <c r="K52" s="606" t="s">
        <v>591</v>
      </c>
    </row>
    <row r="53" spans="1:11" s="12" customFormat="1" ht="18" customHeight="1">
      <c r="A53" s="605" t="s">
        <v>592</v>
      </c>
      <c r="B53" s="2687">
        <v>8</v>
      </c>
      <c r="C53" s="2236">
        <f>(D53*1000)/B53</f>
        <v>3625</v>
      </c>
      <c r="D53" s="2420">
        <v>29</v>
      </c>
      <c r="E53" s="607">
        <v>2</v>
      </c>
      <c r="F53" s="74">
        <f>(G53*1000)/E53</f>
        <v>2000</v>
      </c>
      <c r="G53" s="1071">
        <v>4</v>
      </c>
      <c r="H53" s="1069" t="s">
        <v>464</v>
      </c>
      <c r="I53" s="1067" t="s">
        <v>464</v>
      </c>
      <c r="J53" s="1070" t="s">
        <v>464</v>
      </c>
      <c r="K53" s="606" t="s">
        <v>593</v>
      </c>
    </row>
    <row r="54" spans="1:11" ht="18" customHeight="1">
      <c r="A54" s="605" t="s">
        <v>594</v>
      </c>
      <c r="B54" s="2687">
        <v>3</v>
      </c>
      <c r="C54" s="2236">
        <f>(D54*1000)/B54</f>
        <v>3666.6666666666665</v>
      </c>
      <c r="D54" s="2420">
        <v>11</v>
      </c>
      <c r="E54" s="1069" t="s">
        <v>464</v>
      </c>
      <c r="F54" s="1067" t="s">
        <v>464</v>
      </c>
      <c r="G54" s="1067" t="s">
        <v>464</v>
      </c>
      <c r="H54" s="1069" t="s">
        <v>464</v>
      </c>
      <c r="I54" s="1067" t="s">
        <v>464</v>
      </c>
      <c r="J54" s="1070" t="s">
        <v>464</v>
      </c>
      <c r="K54" s="606" t="s">
        <v>594</v>
      </c>
    </row>
    <row r="55" spans="1:11" ht="18" customHeight="1">
      <c r="A55" s="605" t="s">
        <v>599</v>
      </c>
      <c r="B55" s="2681" t="s">
        <v>464</v>
      </c>
      <c r="C55" s="2682" t="s">
        <v>464</v>
      </c>
      <c r="D55" s="2682" t="s">
        <v>464</v>
      </c>
      <c r="E55" s="1069" t="s">
        <v>464</v>
      </c>
      <c r="F55" s="1067" t="s">
        <v>464</v>
      </c>
      <c r="G55" s="1067" t="s">
        <v>464</v>
      </c>
      <c r="H55" s="1069" t="s">
        <v>464</v>
      </c>
      <c r="I55" s="1067" t="s">
        <v>464</v>
      </c>
      <c r="J55" s="1070" t="s">
        <v>464</v>
      </c>
      <c r="K55" s="606" t="s">
        <v>599</v>
      </c>
    </row>
    <row r="56" spans="1:11" ht="18" customHeight="1">
      <c r="A56" s="605" t="s">
        <v>598</v>
      </c>
      <c r="B56" s="2681" t="s">
        <v>464</v>
      </c>
      <c r="C56" s="2682" t="s">
        <v>464</v>
      </c>
      <c r="D56" s="2682" t="s">
        <v>464</v>
      </c>
      <c r="E56" s="1069" t="s">
        <v>464</v>
      </c>
      <c r="F56" s="1067" t="s">
        <v>464</v>
      </c>
      <c r="G56" s="1067" t="s">
        <v>464</v>
      </c>
      <c r="H56" s="1069" t="s">
        <v>464</v>
      </c>
      <c r="I56" s="1067" t="s">
        <v>464</v>
      </c>
      <c r="J56" s="1070" t="s">
        <v>464</v>
      </c>
      <c r="K56" s="606" t="s">
        <v>598</v>
      </c>
    </row>
    <row r="57" spans="1:11" ht="18" customHeight="1">
      <c r="A57" s="613"/>
      <c r="B57" s="2404"/>
      <c r="C57" s="2412"/>
      <c r="D57" s="2402"/>
      <c r="E57" s="614"/>
      <c r="F57" s="615"/>
      <c r="G57" s="616"/>
      <c r="H57" s="614"/>
      <c r="I57" s="615"/>
      <c r="J57" s="616"/>
      <c r="K57" s="606"/>
    </row>
    <row r="58" spans="1:11" ht="18" customHeight="1">
      <c r="A58" s="611" t="s">
        <v>601</v>
      </c>
      <c r="B58" s="2685">
        <f>SUM(B59:B62)</f>
        <v>39</v>
      </c>
      <c r="C58" s="2400">
        <f>(D58*1000)/B58</f>
        <v>3589.74358974359</v>
      </c>
      <c r="D58" s="2686">
        <f>SUM(D59:D62)</f>
        <v>140</v>
      </c>
      <c r="E58" s="599">
        <f>SUM(E59:E62)</f>
        <v>9</v>
      </c>
      <c r="F58" s="600">
        <f>(G58*1000)/E58</f>
        <v>1666.6666666666667</v>
      </c>
      <c r="G58" s="601">
        <f>SUM(G59:G62)</f>
        <v>15</v>
      </c>
      <c r="H58" s="1069" t="s">
        <v>464</v>
      </c>
      <c r="I58" s="1067" t="s">
        <v>464</v>
      </c>
      <c r="J58" s="1070" t="s">
        <v>464</v>
      </c>
      <c r="K58" s="612" t="s">
        <v>602</v>
      </c>
    </row>
    <row r="59" spans="1:11" ht="18" customHeight="1">
      <c r="A59" s="605" t="s">
        <v>603</v>
      </c>
      <c r="B59" s="2681" t="s">
        <v>464</v>
      </c>
      <c r="C59" s="2682" t="s">
        <v>464</v>
      </c>
      <c r="D59" s="2682" t="s">
        <v>464</v>
      </c>
      <c r="E59" s="607">
        <v>5</v>
      </c>
      <c r="F59" s="74">
        <f>(G59*1000)/E59</f>
        <v>1600</v>
      </c>
      <c r="G59" s="1071">
        <v>8</v>
      </c>
      <c r="H59" s="1069" t="s">
        <v>464</v>
      </c>
      <c r="I59" s="1067" t="s">
        <v>464</v>
      </c>
      <c r="J59" s="1070" t="s">
        <v>464</v>
      </c>
      <c r="K59" s="606" t="s">
        <v>604</v>
      </c>
    </row>
    <row r="60" spans="1:11" ht="18" customHeight="1">
      <c r="A60" s="605" t="s">
        <v>605</v>
      </c>
      <c r="B60" s="2687">
        <v>4</v>
      </c>
      <c r="C60" s="2236">
        <f>(D60*1000)/B60</f>
        <v>3750</v>
      </c>
      <c r="D60">
        <v>15</v>
      </c>
      <c r="E60" s="1069" t="s">
        <v>464</v>
      </c>
      <c r="F60" s="1067" t="s">
        <v>464</v>
      </c>
      <c r="G60" s="1067" t="s">
        <v>464</v>
      </c>
      <c r="H60" s="1069" t="s">
        <v>464</v>
      </c>
      <c r="I60" s="1067" t="s">
        <v>464</v>
      </c>
      <c r="J60" s="1070" t="s">
        <v>464</v>
      </c>
      <c r="K60" s="606" t="s">
        <v>606</v>
      </c>
    </row>
    <row r="61" spans="1:11" ht="18" customHeight="1">
      <c r="A61" s="605" t="s">
        <v>607</v>
      </c>
      <c r="B61" s="2681" t="s">
        <v>464</v>
      </c>
      <c r="C61" s="2682" t="s">
        <v>464</v>
      </c>
      <c r="D61" s="2682" t="s">
        <v>464</v>
      </c>
      <c r="E61" s="1069" t="s">
        <v>464</v>
      </c>
      <c r="F61" s="1067" t="s">
        <v>464</v>
      </c>
      <c r="G61" s="1067" t="s">
        <v>464</v>
      </c>
      <c r="H61" s="1069" t="s">
        <v>464</v>
      </c>
      <c r="I61" s="1067" t="s">
        <v>464</v>
      </c>
      <c r="J61" s="1070" t="s">
        <v>464</v>
      </c>
      <c r="K61" s="606" t="s">
        <v>607</v>
      </c>
    </row>
    <row r="62" spans="1:11" ht="18" customHeight="1">
      <c r="A62" s="605" t="s">
        <v>608</v>
      </c>
      <c r="B62" s="2683">
        <v>35</v>
      </c>
      <c r="C62" s="2236">
        <f>(D62*1000)/B62</f>
        <v>3571.4285714285716</v>
      </c>
      <c r="D62" s="2684">
        <v>125</v>
      </c>
      <c r="E62" s="609">
        <v>4</v>
      </c>
      <c r="F62" s="74">
        <f>(G62*1000)/E62</f>
        <v>1750</v>
      </c>
      <c r="G62" s="610">
        <v>7</v>
      </c>
      <c r="H62" s="1069" t="s">
        <v>464</v>
      </c>
      <c r="I62" s="1067" t="s">
        <v>464</v>
      </c>
      <c r="J62" s="1070" t="s">
        <v>464</v>
      </c>
      <c r="K62" s="606" t="s">
        <v>608</v>
      </c>
    </row>
    <row r="63" spans="1:11" s="12" customFormat="1" ht="18" customHeight="1">
      <c r="A63" s="618"/>
      <c r="B63" s="2403"/>
      <c r="C63" s="2418"/>
      <c r="D63" s="2401"/>
      <c r="E63" s="619"/>
      <c r="F63" s="620"/>
      <c r="G63" s="621"/>
      <c r="H63" s="619"/>
      <c r="I63" s="620"/>
      <c r="J63" s="621"/>
      <c r="K63" s="622"/>
    </row>
    <row r="64" spans="1:11" ht="18" customHeight="1">
      <c r="A64" s="618" t="s">
        <v>1286</v>
      </c>
      <c r="B64" s="2403">
        <f>SUM(B65:B66)</f>
        <v>226.5</v>
      </c>
      <c r="C64" s="2400">
        <f>(D64*1000)/B64</f>
        <v>3386.3134657836645</v>
      </c>
      <c r="D64" s="2401">
        <f>SUM(D65:D66)</f>
        <v>767</v>
      </c>
      <c r="E64" s="619">
        <f>SUM(E65:E66)</f>
        <v>24</v>
      </c>
      <c r="F64" s="600">
        <f>(G64*1000)/E64</f>
        <v>1291.6666666666667</v>
      </c>
      <c r="G64" s="621">
        <f>SUM(G65:G66)</f>
        <v>31</v>
      </c>
      <c r="H64" s="1069" t="s">
        <v>464</v>
      </c>
      <c r="I64" s="1067" t="s">
        <v>464</v>
      </c>
      <c r="J64" s="1070" t="s">
        <v>464</v>
      </c>
      <c r="K64" s="612" t="s">
        <v>1286</v>
      </c>
    </row>
    <row r="65" spans="1:11" ht="18" customHeight="1">
      <c r="A65" s="613" t="s">
        <v>586</v>
      </c>
      <c r="B65" s="2404">
        <v>79.5</v>
      </c>
      <c r="C65" s="2236">
        <f>(D65*1000)/B65</f>
        <v>3333.3333333333335</v>
      </c>
      <c r="D65" s="2402">
        <v>265</v>
      </c>
      <c r="E65" s="614">
        <v>6</v>
      </c>
      <c r="F65" s="74">
        <f>(G65*1000)/E65</f>
        <v>1500</v>
      </c>
      <c r="G65" s="616">
        <v>9</v>
      </c>
      <c r="H65" s="1069" t="s">
        <v>464</v>
      </c>
      <c r="I65" s="1067" t="s">
        <v>464</v>
      </c>
      <c r="J65" s="1070" t="s">
        <v>464</v>
      </c>
      <c r="K65" s="606" t="s">
        <v>586</v>
      </c>
    </row>
    <row r="66" spans="1:11" ht="18" customHeight="1">
      <c r="A66" s="1930" t="s">
        <v>587</v>
      </c>
      <c r="B66" s="2404">
        <v>147</v>
      </c>
      <c r="C66" s="2236">
        <f>(D66*1000)/B66</f>
        <v>3414.9659863945576</v>
      </c>
      <c r="D66" s="2402">
        <v>502</v>
      </c>
      <c r="E66" s="614">
        <v>18</v>
      </c>
      <c r="F66" s="74">
        <f>(G66*1000)/E66</f>
        <v>1222.2222222222222</v>
      </c>
      <c r="G66" s="616">
        <v>22</v>
      </c>
      <c r="H66" s="1069" t="s">
        <v>464</v>
      </c>
      <c r="I66" s="1067" t="s">
        <v>464</v>
      </c>
      <c r="J66" s="1070" t="s">
        <v>464</v>
      </c>
      <c r="K66" s="606" t="s">
        <v>587</v>
      </c>
    </row>
    <row r="67" spans="1:11" ht="18" customHeight="1">
      <c r="A67" s="1930"/>
      <c r="B67" s="2404"/>
      <c r="C67" s="2412"/>
      <c r="D67" s="2402"/>
      <c r="E67" s="614"/>
      <c r="F67" s="615"/>
      <c r="G67" s="616"/>
      <c r="H67" s="614"/>
      <c r="I67" s="615"/>
      <c r="J67" s="616"/>
      <c r="K67" s="606"/>
    </row>
    <row r="68" spans="1:11" ht="18" customHeight="1">
      <c r="A68" s="618" t="s">
        <v>1287</v>
      </c>
      <c r="B68" s="2403">
        <f>SUM(B69:B71)</f>
        <v>1</v>
      </c>
      <c r="C68" s="2400">
        <f>(D68*1000)/B68</f>
        <v>3500</v>
      </c>
      <c r="D68" s="2401">
        <f>SUM(D69:D71)</f>
        <v>3.5</v>
      </c>
      <c r="E68" s="619">
        <f>SUM(E69:E71)</f>
        <v>1</v>
      </c>
      <c r="F68" s="600">
        <f>(G68*1000)/E68</f>
        <v>2000</v>
      </c>
      <c r="G68" s="621">
        <f>SUM(G69:G71)</f>
        <v>2</v>
      </c>
      <c r="H68" s="1069" t="s">
        <v>464</v>
      </c>
      <c r="I68" s="1067" t="s">
        <v>464</v>
      </c>
      <c r="J68" s="1070" t="s">
        <v>464</v>
      </c>
      <c r="K68" s="612" t="s">
        <v>1287</v>
      </c>
    </row>
    <row r="69" spans="1:11" ht="18" customHeight="1">
      <c r="A69" s="613" t="s">
        <v>1273</v>
      </c>
      <c r="B69" s="2681" t="s">
        <v>464</v>
      </c>
      <c r="C69" s="2682" t="s">
        <v>464</v>
      </c>
      <c r="D69" s="2682" t="s">
        <v>464</v>
      </c>
      <c r="E69" s="1069" t="s">
        <v>464</v>
      </c>
      <c r="F69" s="1067" t="s">
        <v>464</v>
      </c>
      <c r="G69" s="1067" t="s">
        <v>464</v>
      </c>
      <c r="H69" s="1069" t="s">
        <v>464</v>
      </c>
      <c r="I69" s="1067" t="s">
        <v>464</v>
      </c>
      <c r="J69" s="1070" t="s">
        <v>464</v>
      </c>
      <c r="K69" s="606" t="s">
        <v>1273</v>
      </c>
    </row>
    <row r="70" spans="1:11" ht="18" customHeight="1">
      <c r="A70" s="613" t="s">
        <v>596</v>
      </c>
      <c r="B70" s="2404">
        <v>1</v>
      </c>
      <c r="C70" s="2236">
        <f>(D70*1000)/B70</f>
        <v>3500</v>
      </c>
      <c r="D70" s="2402">
        <v>3.5</v>
      </c>
      <c r="E70" s="614">
        <v>1</v>
      </c>
      <c r="F70" s="74">
        <f>(G70*1000)/E70</f>
        <v>2000</v>
      </c>
      <c r="G70" s="616">
        <v>2</v>
      </c>
      <c r="H70" s="1069" t="s">
        <v>464</v>
      </c>
      <c r="I70" s="1067" t="s">
        <v>464</v>
      </c>
      <c r="J70" s="1070" t="s">
        <v>464</v>
      </c>
      <c r="K70" s="606" t="s">
        <v>596</v>
      </c>
    </row>
    <row r="71" spans="1:11" ht="18" customHeight="1" thickBot="1">
      <c r="A71" s="623" t="s">
        <v>595</v>
      </c>
      <c r="B71" t="s">
        <v>464</v>
      </c>
      <c r="C71" t="s">
        <v>464</v>
      </c>
      <c r="D71" t="s">
        <v>464</v>
      </c>
      <c r="E71" s="1125" t="s">
        <v>464</v>
      </c>
      <c r="F71" s="1126" t="s">
        <v>464</v>
      </c>
      <c r="G71" s="1127" t="s">
        <v>464</v>
      </c>
      <c r="H71" s="1114" t="s">
        <v>464</v>
      </c>
      <c r="I71" s="1073" t="s">
        <v>464</v>
      </c>
      <c r="J71" s="1115" t="s">
        <v>464</v>
      </c>
      <c r="K71" s="626" t="s">
        <v>595</v>
      </c>
    </row>
    <row r="72" spans="2:7" ht="18.75">
      <c r="B72"/>
      <c r="D72"/>
      <c r="E72" s="585"/>
      <c r="F72" s="81"/>
      <c r="G72" s="585"/>
    </row>
  </sheetData>
  <sheetProtection/>
  <printOptions/>
  <pageMargins left="0.82" right="0.984251968503937" top="0.984251968503937" bottom="0.984251968503937" header="0.5118110236220472" footer="0.5118110236220472"/>
  <pageSetup horizontalDpi="300" verticalDpi="3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0"/>
  <sheetViews>
    <sheetView zoomScale="60" zoomScaleNormal="60" zoomScalePageLayoutView="0" workbookViewId="0" topLeftCell="A1">
      <selection activeCell="G19" sqref="G19"/>
    </sheetView>
  </sheetViews>
  <sheetFormatPr defaultColWidth="9.7109375" defaultRowHeight="12.75"/>
  <cols>
    <col min="1" max="1" width="27.7109375" style="158" customWidth="1"/>
    <col min="2" max="2" width="16.421875" style="158" customWidth="1"/>
    <col min="3" max="3" width="15.28125" style="158" customWidth="1"/>
    <col min="4" max="5" width="16.421875" style="158" customWidth="1"/>
    <col min="6" max="6" width="13.8515625" style="158" customWidth="1"/>
    <col min="7" max="8" width="16.421875" style="158" customWidth="1"/>
    <col min="9" max="9" width="15.7109375" style="158" customWidth="1"/>
    <col min="10" max="10" width="16.421875" style="158" customWidth="1"/>
    <col min="11" max="11" width="22.7109375" style="180" customWidth="1"/>
    <col min="12" max="15" width="9.7109375" style="158" customWidth="1"/>
    <col min="16" max="16" width="12.7109375" style="158" bestFit="1" customWidth="1"/>
    <col min="17" max="17" width="12.8515625" style="158" bestFit="1" customWidth="1"/>
    <col min="18" max="16384" width="9.7109375" style="158" customWidth="1"/>
  </cols>
  <sheetData>
    <row r="1" spans="1:11" ht="23.25">
      <c r="A1" s="1128" t="s">
        <v>655</v>
      </c>
      <c r="B1" s="1129"/>
      <c r="C1" s="1130"/>
      <c r="D1" s="1129"/>
      <c r="E1" s="1129"/>
      <c r="F1" s="1130"/>
      <c r="G1" s="1129"/>
      <c r="H1" s="1129"/>
      <c r="I1" s="1130"/>
      <c r="J1" s="1129"/>
      <c r="K1" s="1131"/>
    </row>
    <row r="2" spans="1:11" ht="24" thickBot="1">
      <c r="A2" s="1128"/>
      <c r="B2" s="1129"/>
      <c r="C2" s="1130"/>
      <c r="D2" s="1129"/>
      <c r="E2" s="1129"/>
      <c r="F2" s="1130"/>
      <c r="G2" s="1129"/>
      <c r="H2" s="1129"/>
      <c r="I2" s="1130"/>
      <c r="J2" s="1129"/>
      <c r="K2" s="1131"/>
    </row>
    <row r="3" spans="1:11" ht="22.5" customHeight="1" thickBot="1">
      <c r="A3" s="1132"/>
      <c r="B3" s="1133" t="s">
        <v>656</v>
      </c>
      <c r="C3" s="1134"/>
      <c r="D3" s="1135"/>
      <c r="E3" s="1133" t="s">
        <v>657</v>
      </c>
      <c r="F3" s="1134"/>
      <c r="G3" s="1135"/>
      <c r="H3" s="1133" t="s">
        <v>1407</v>
      </c>
      <c r="I3" s="1134"/>
      <c r="J3" s="1136"/>
      <c r="K3" s="1137"/>
    </row>
    <row r="4" spans="1:11" ht="30" customHeight="1">
      <c r="A4" s="1138" t="s">
        <v>566</v>
      </c>
      <c r="B4" s="1139" t="s">
        <v>658</v>
      </c>
      <c r="C4" s="1140" t="s">
        <v>568</v>
      </c>
      <c r="D4" s="1139" t="s">
        <v>569</v>
      </c>
      <c r="E4" s="1139" t="s">
        <v>658</v>
      </c>
      <c r="F4" s="1140" t="s">
        <v>568</v>
      </c>
      <c r="G4" s="1139" t="s">
        <v>569</v>
      </c>
      <c r="H4" s="1139" t="s">
        <v>658</v>
      </c>
      <c r="I4" s="1140" t="s">
        <v>568</v>
      </c>
      <c r="J4" s="1139" t="s">
        <v>569</v>
      </c>
      <c r="K4" s="1141" t="s">
        <v>570</v>
      </c>
    </row>
    <row r="5" spans="1:11" ht="30" customHeight="1">
      <c r="A5" s="1138" t="s">
        <v>571</v>
      </c>
      <c r="B5" s="1142" t="s">
        <v>659</v>
      </c>
      <c r="C5" s="1143" t="s">
        <v>573</v>
      </c>
      <c r="D5" s="1142" t="s">
        <v>574</v>
      </c>
      <c r="E5" s="1142" t="s">
        <v>659</v>
      </c>
      <c r="F5" s="1143" t="s">
        <v>573</v>
      </c>
      <c r="G5" s="1142" t="s">
        <v>574</v>
      </c>
      <c r="H5" s="1142" t="s">
        <v>659</v>
      </c>
      <c r="I5" s="1143" t="s">
        <v>573</v>
      </c>
      <c r="J5" s="1142" t="s">
        <v>574</v>
      </c>
      <c r="K5" s="1141" t="s">
        <v>575</v>
      </c>
    </row>
    <row r="6" spans="1:11" ht="30" customHeight="1" thickBot="1">
      <c r="A6" s="1144"/>
      <c r="B6" s="1142" t="s">
        <v>660</v>
      </c>
      <c r="C6" s="1194" t="s">
        <v>661</v>
      </c>
      <c r="D6" s="1193" t="s">
        <v>577</v>
      </c>
      <c r="E6" s="1142" t="s">
        <v>660</v>
      </c>
      <c r="F6" s="1194" t="s">
        <v>661</v>
      </c>
      <c r="G6" s="1193" t="s">
        <v>577</v>
      </c>
      <c r="H6" s="1142" t="s">
        <v>660</v>
      </c>
      <c r="I6" s="1194" t="s">
        <v>661</v>
      </c>
      <c r="J6" s="1193" t="s">
        <v>577</v>
      </c>
      <c r="K6" s="1145"/>
    </row>
    <row r="7" spans="1:11" s="190" customFormat="1" ht="24" customHeight="1" thickBot="1">
      <c r="A7" s="1146" t="s">
        <v>578</v>
      </c>
      <c r="B7" s="224">
        <f>SUM(B8+B13+B20+B26+B30)</f>
        <v>41139</v>
      </c>
      <c r="C7" s="261">
        <f>(D7*1000)/B7</f>
        <v>10.792678480274192</v>
      </c>
      <c r="D7" s="276">
        <f>SUM(D8+D13+D20+D26+D30)</f>
        <v>444</v>
      </c>
      <c r="E7" s="224">
        <f>SUM(E13+E20+E26+E30)</f>
        <v>2324</v>
      </c>
      <c r="F7" s="261">
        <f>(G7*1000)/E7</f>
        <v>53.26592082616178</v>
      </c>
      <c r="G7" s="1879">
        <f>SUM(G13+G20+G26)</f>
        <v>123.78999999999999</v>
      </c>
      <c r="H7" s="224">
        <f>SUM(H13+H20+H30+H8)</f>
        <v>3496</v>
      </c>
      <c r="I7" s="261">
        <f>(J7*1000)/H7</f>
        <v>2.345537757437071</v>
      </c>
      <c r="J7" s="1147">
        <f>SUM(J13+J30)</f>
        <v>8.2</v>
      </c>
      <c r="K7" s="1148" t="s">
        <v>579</v>
      </c>
    </row>
    <row r="8" spans="1:11" s="190" customFormat="1" ht="21" customHeight="1">
      <c r="A8" s="1149" t="s">
        <v>580</v>
      </c>
      <c r="B8" s="278">
        <f>SUM(B9:B11)</f>
        <v>5507</v>
      </c>
      <c r="C8" s="1150">
        <f>(D8*1000)/B8</f>
        <v>8.897766479026693</v>
      </c>
      <c r="D8" s="1151">
        <f>SUM(D9:D11)</f>
        <v>49</v>
      </c>
      <c r="E8" s="1152" t="s">
        <v>464</v>
      </c>
      <c r="F8" s="1153" t="s">
        <v>464</v>
      </c>
      <c r="G8" s="1153" t="s">
        <v>464</v>
      </c>
      <c r="H8" s="1233">
        <f>SUM(H9:H11)</f>
        <v>300</v>
      </c>
      <c r="I8" s="1153" t="s">
        <v>464</v>
      </c>
      <c r="J8" s="1154" t="s">
        <v>464</v>
      </c>
      <c r="K8" s="1155" t="s">
        <v>581</v>
      </c>
    </row>
    <row r="9" spans="1:11" ht="21" customHeight="1">
      <c r="A9" s="1156" t="s">
        <v>582</v>
      </c>
      <c r="B9" s="1157" t="s">
        <v>464</v>
      </c>
      <c r="C9" s="1158" t="s">
        <v>464</v>
      </c>
      <c r="D9" s="1158" t="s">
        <v>464</v>
      </c>
      <c r="E9" s="1157" t="s">
        <v>464</v>
      </c>
      <c r="F9" s="1158" t="s">
        <v>464</v>
      </c>
      <c r="G9" s="1158" t="s">
        <v>464</v>
      </c>
      <c r="H9" s="1157" t="s">
        <v>464</v>
      </c>
      <c r="I9" s="1158" t="s">
        <v>464</v>
      </c>
      <c r="J9" s="1159" t="s">
        <v>464</v>
      </c>
      <c r="K9" s="1160" t="s">
        <v>583</v>
      </c>
    </row>
    <row r="10" spans="1:11" ht="21" customHeight="1">
      <c r="A10" s="1156" t="s">
        <v>584</v>
      </c>
      <c r="B10" s="1157">
        <v>4534</v>
      </c>
      <c r="C10" s="1161">
        <f>(D10*1000)/B10</f>
        <v>8.601676224084693</v>
      </c>
      <c r="D10" s="1159">
        <v>39</v>
      </c>
      <c r="E10" s="1157" t="s">
        <v>464</v>
      </c>
      <c r="F10" s="1158" t="s">
        <v>464</v>
      </c>
      <c r="G10" s="1158" t="s">
        <v>464</v>
      </c>
      <c r="H10" s="1157" t="s">
        <v>464</v>
      </c>
      <c r="I10" s="1158" t="s">
        <v>464</v>
      </c>
      <c r="J10" s="1159" t="s">
        <v>464</v>
      </c>
      <c r="K10" s="1160" t="s">
        <v>584</v>
      </c>
    </row>
    <row r="11" spans="1:11" ht="21" customHeight="1">
      <c r="A11" s="1156" t="s">
        <v>585</v>
      </c>
      <c r="B11" s="1157">
        <v>973</v>
      </c>
      <c r="C11" s="1161">
        <f>(D11*1000)/B11</f>
        <v>10.277492291880781</v>
      </c>
      <c r="D11" s="1159">
        <v>10</v>
      </c>
      <c r="E11" s="1157" t="s">
        <v>464</v>
      </c>
      <c r="F11" s="1158" t="s">
        <v>464</v>
      </c>
      <c r="G11" s="1158" t="s">
        <v>464</v>
      </c>
      <c r="H11" s="1157">
        <v>300</v>
      </c>
      <c r="I11" s="1158" t="s">
        <v>464</v>
      </c>
      <c r="J11" s="1159" t="s">
        <v>464</v>
      </c>
      <c r="K11" s="1160" t="s">
        <v>585</v>
      </c>
    </row>
    <row r="12" spans="1:11" ht="21" customHeight="1">
      <c r="A12" s="1156"/>
      <c r="B12" s="240"/>
      <c r="C12" s="1161"/>
      <c r="D12" s="1162"/>
      <c r="E12" s="240"/>
      <c r="F12" s="1161"/>
      <c r="G12" s="1162"/>
      <c r="H12" s="240"/>
      <c r="I12" s="1161"/>
      <c r="J12" s="1162"/>
      <c r="K12" s="1160"/>
    </row>
    <row r="13" spans="1:11" ht="21" customHeight="1">
      <c r="A13" s="1163" t="s">
        <v>588</v>
      </c>
      <c r="B13" s="250">
        <f>SUM(B14:B18)</f>
        <v>8450</v>
      </c>
      <c r="C13" s="1164">
        <f aca="true" t="shared" si="0" ref="C13:C18">(D13*1000)/B13</f>
        <v>12.42603550295858</v>
      </c>
      <c r="D13" s="1165">
        <f>SUM(D14:D18)</f>
        <v>105</v>
      </c>
      <c r="E13" s="250">
        <f>SUM(E14:E18)</f>
        <v>203</v>
      </c>
      <c r="F13" s="1164">
        <f>(G13*1000)/E13</f>
        <v>27.0935960591133</v>
      </c>
      <c r="G13" s="1166">
        <f>SUM(G14:G18)</f>
        <v>5.5</v>
      </c>
      <c r="H13" s="250">
        <f>SUM(H14:H18)</f>
        <v>1666</v>
      </c>
      <c r="I13" s="1164">
        <f>(J13*1000)/H13</f>
        <v>1.3205282112845138</v>
      </c>
      <c r="J13" s="1166">
        <f>SUM(J14:J18)</f>
        <v>2.2</v>
      </c>
      <c r="K13" s="1167" t="s">
        <v>589</v>
      </c>
    </row>
    <row r="14" spans="1:11" ht="21" customHeight="1">
      <c r="A14" s="1156" t="s">
        <v>590</v>
      </c>
      <c r="B14" s="240">
        <v>1755</v>
      </c>
      <c r="C14" s="1161">
        <f t="shared" si="0"/>
        <v>17.094017094017094</v>
      </c>
      <c r="D14" s="1162">
        <v>30</v>
      </c>
      <c r="E14" s="240">
        <v>103</v>
      </c>
      <c r="F14" s="1161">
        <f>(G14*1000)/E14</f>
        <v>29.12621359223301</v>
      </c>
      <c r="G14" s="1162">
        <v>3</v>
      </c>
      <c r="H14" s="240">
        <v>316</v>
      </c>
      <c r="I14" s="1161">
        <f>(J14*1000)/H14</f>
        <v>2.2151898734177213</v>
      </c>
      <c r="J14" s="1168">
        <v>0.7</v>
      </c>
      <c r="K14" s="1160" t="s">
        <v>591</v>
      </c>
    </row>
    <row r="15" spans="1:11" s="190" customFormat="1" ht="21" customHeight="1">
      <c r="A15" s="1156" t="s">
        <v>592</v>
      </c>
      <c r="B15" s="1157">
        <v>165</v>
      </c>
      <c r="C15" s="1161">
        <f t="shared" si="0"/>
        <v>6.0606060606060606</v>
      </c>
      <c r="D15" s="1158">
        <v>1</v>
      </c>
      <c r="E15" s="1157" t="s">
        <v>464</v>
      </c>
      <c r="F15" s="1158" t="s">
        <v>464</v>
      </c>
      <c r="G15" s="1158" t="s">
        <v>464</v>
      </c>
      <c r="H15" s="240">
        <v>1000</v>
      </c>
      <c r="I15" s="1158" t="s">
        <v>464</v>
      </c>
      <c r="J15" s="1159" t="s">
        <v>464</v>
      </c>
      <c r="K15" s="1160" t="s">
        <v>593</v>
      </c>
    </row>
    <row r="16" spans="1:11" ht="21" customHeight="1">
      <c r="A16" s="1156" t="s">
        <v>594</v>
      </c>
      <c r="B16" s="240">
        <v>1440</v>
      </c>
      <c r="C16" s="1161">
        <f t="shared" si="0"/>
        <v>10.416666666666666</v>
      </c>
      <c r="D16" s="1162">
        <v>15</v>
      </c>
      <c r="E16" s="1157">
        <v>100</v>
      </c>
      <c r="F16" s="1161">
        <f>(G16*1000)/E16</f>
        <v>25</v>
      </c>
      <c r="G16" s="2773">
        <v>2.5</v>
      </c>
      <c r="H16" s="240">
        <v>350</v>
      </c>
      <c r="I16" s="1161">
        <f>(J16*1000)/H16</f>
        <v>4.285714285714286</v>
      </c>
      <c r="J16" s="1168">
        <v>1.5</v>
      </c>
      <c r="K16" s="1160" t="s">
        <v>594</v>
      </c>
    </row>
    <row r="17" spans="1:11" ht="21" customHeight="1">
      <c r="A17" s="1156" t="s">
        <v>599</v>
      </c>
      <c r="B17" s="240">
        <v>1700</v>
      </c>
      <c r="C17" s="1161">
        <f t="shared" si="0"/>
        <v>15.294117647058824</v>
      </c>
      <c r="D17" s="2353">
        <v>26</v>
      </c>
      <c r="E17" s="1157" t="s">
        <v>464</v>
      </c>
      <c r="F17" s="1158" t="s">
        <v>464</v>
      </c>
      <c r="G17" s="1158" t="s">
        <v>464</v>
      </c>
      <c r="H17" s="1157"/>
      <c r="I17" s="1158" t="s">
        <v>464</v>
      </c>
      <c r="J17" s="1159" t="s">
        <v>464</v>
      </c>
      <c r="K17" s="1160" t="s">
        <v>599</v>
      </c>
    </row>
    <row r="18" spans="1:11" ht="21" customHeight="1">
      <c r="A18" s="1156" t="s">
        <v>598</v>
      </c>
      <c r="B18" s="240">
        <v>3390</v>
      </c>
      <c r="C18" s="1161">
        <f t="shared" si="0"/>
        <v>9.734513274336283</v>
      </c>
      <c r="D18" s="2353">
        <v>33</v>
      </c>
      <c r="E18" s="1157" t="s">
        <v>464</v>
      </c>
      <c r="F18" s="1158" t="s">
        <v>464</v>
      </c>
      <c r="G18" s="1158" t="s">
        <v>464</v>
      </c>
      <c r="H18" s="1157" t="s">
        <v>464</v>
      </c>
      <c r="I18" s="1158" t="s">
        <v>464</v>
      </c>
      <c r="J18" s="1159" t="s">
        <v>464</v>
      </c>
      <c r="K18" s="1160" t="s">
        <v>598</v>
      </c>
    </row>
    <row r="19" spans="1:11" ht="21" customHeight="1">
      <c r="A19" s="1169"/>
      <c r="B19" s="240"/>
      <c r="C19" s="111"/>
      <c r="D19" s="241"/>
      <c r="E19" s="240"/>
      <c r="F19" s="111"/>
      <c r="G19" s="241"/>
      <c r="H19" s="1170"/>
      <c r="I19" s="1171"/>
      <c r="J19" s="1172"/>
      <c r="K19" s="1160"/>
    </row>
    <row r="20" spans="1:11" ht="21" customHeight="1">
      <c r="A20" s="1163" t="s">
        <v>601</v>
      </c>
      <c r="B20" s="250">
        <f>SUM(B21:B24)</f>
        <v>10136</v>
      </c>
      <c r="C20" s="1164">
        <f>(D20*1000)/B20</f>
        <v>8.583267561168114</v>
      </c>
      <c r="D20" s="1165">
        <f>SUM(D21:D24)</f>
        <v>87</v>
      </c>
      <c r="E20" s="250">
        <f>SUM(E21:E24)</f>
        <v>535</v>
      </c>
      <c r="F20" s="1164">
        <f>(G20*1000)/E20</f>
        <v>28.57943925233645</v>
      </c>
      <c r="G20" s="1166">
        <f>SUM(G21:G24)</f>
        <v>15.29</v>
      </c>
      <c r="H20" s="250">
        <f>SUM(H21:H24)</f>
        <v>150</v>
      </c>
      <c r="I20" s="1158" t="s">
        <v>464</v>
      </c>
      <c r="J20" s="1159" t="s">
        <v>464</v>
      </c>
      <c r="K20" s="1167" t="s">
        <v>602</v>
      </c>
    </row>
    <row r="21" spans="1:11" ht="21" customHeight="1">
      <c r="A21" s="1156" t="s">
        <v>603</v>
      </c>
      <c r="B21" s="1173">
        <v>2052</v>
      </c>
      <c r="C21" s="1161">
        <f>(D21*1000)/B21</f>
        <v>14.132553606237817</v>
      </c>
      <c r="D21" s="1162">
        <v>29</v>
      </c>
      <c r="E21" s="1173">
        <v>85</v>
      </c>
      <c r="F21" s="1161">
        <f>(G21*1000)/E21</f>
        <v>32.8235294117647</v>
      </c>
      <c r="G21" s="1202">
        <v>2.79</v>
      </c>
      <c r="H21" s="1157" t="s">
        <v>464</v>
      </c>
      <c r="I21" s="1158" t="s">
        <v>464</v>
      </c>
      <c r="J21" s="1159" t="s">
        <v>464</v>
      </c>
      <c r="K21" s="1160" t="s">
        <v>604</v>
      </c>
    </row>
    <row r="22" spans="1:11" ht="21" customHeight="1">
      <c r="A22" s="1156" t="s">
        <v>605</v>
      </c>
      <c r="B22" s="240">
        <v>2250</v>
      </c>
      <c r="C22" s="1161">
        <f>(D22*1000)/B22</f>
        <v>10.666666666666666</v>
      </c>
      <c r="D22" s="1162">
        <v>24</v>
      </c>
      <c r="E22" s="240">
        <v>395</v>
      </c>
      <c r="F22" s="1161">
        <f>(G22*1000)/E22</f>
        <v>27.848101265822784</v>
      </c>
      <c r="G22" s="1162">
        <v>11</v>
      </c>
      <c r="H22" s="1157" t="s">
        <v>464</v>
      </c>
      <c r="I22" s="1158" t="s">
        <v>464</v>
      </c>
      <c r="J22" s="1159" t="s">
        <v>464</v>
      </c>
      <c r="K22" s="1160" t="s">
        <v>606</v>
      </c>
    </row>
    <row r="23" spans="1:11" ht="21" customHeight="1">
      <c r="A23" s="1156" t="s">
        <v>607</v>
      </c>
      <c r="B23" s="1157">
        <v>2744</v>
      </c>
      <c r="C23" s="1161">
        <f>(D23*1000)/B23</f>
        <v>5.830903790087463</v>
      </c>
      <c r="D23" s="1158">
        <v>16</v>
      </c>
      <c r="E23" s="1157" t="s">
        <v>464</v>
      </c>
      <c r="F23" s="1158" t="s">
        <v>464</v>
      </c>
      <c r="G23" s="1158" t="s">
        <v>464</v>
      </c>
      <c r="H23" s="1157" t="s">
        <v>464</v>
      </c>
      <c r="I23" s="1158" t="s">
        <v>464</v>
      </c>
      <c r="J23" s="1159" t="s">
        <v>464</v>
      </c>
      <c r="K23" s="1160" t="s">
        <v>607</v>
      </c>
    </row>
    <row r="24" spans="1:11" ht="21" customHeight="1">
      <c r="A24" s="1156" t="s">
        <v>608</v>
      </c>
      <c r="B24" s="240">
        <v>3090</v>
      </c>
      <c r="C24" s="1161">
        <f>(D24*1000)/B24</f>
        <v>5.825242718446602</v>
      </c>
      <c r="D24" s="1162">
        <v>18</v>
      </c>
      <c r="E24" s="240">
        <v>55</v>
      </c>
      <c r="F24" s="1161">
        <f>(G24*1000)/E24</f>
        <v>27.272727272727273</v>
      </c>
      <c r="G24" s="1168">
        <v>1.5</v>
      </c>
      <c r="H24" s="240">
        <v>150</v>
      </c>
      <c r="I24" s="1158" t="s">
        <v>464</v>
      </c>
      <c r="J24" s="1159" t="s">
        <v>464</v>
      </c>
      <c r="K24" s="1160" t="s">
        <v>608</v>
      </c>
    </row>
    <row r="25" spans="1:11" s="190" customFormat="1" ht="21" customHeight="1">
      <c r="A25" s="1174"/>
      <c r="B25" s="250"/>
      <c r="C25" s="251"/>
      <c r="D25" s="252"/>
      <c r="E25" s="250"/>
      <c r="F25" s="251"/>
      <c r="G25" s="252"/>
      <c r="H25" s="1175"/>
      <c r="I25" s="1176"/>
      <c r="J25" s="1177"/>
      <c r="K25" s="1178"/>
    </row>
    <row r="26" spans="1:11" ht="21" customHeight="1">
      <c r="A26" s="1174" t="s">
        <v>1286</v>
      </c>
      <c r="B26" s="250">
        <f>SUM(B27:B28)</f>
        <v>3392</v>
      </c>
      <c r="C26" s="1164">
        <f>(D26*1000)/B26</f>
        <v>22.70047169811321</v>
      </c>
      <c r="D26" s="252">
        <f>SUM(D27:D28)</f>
        <v>77</v>
      </c>
      <c r="E26" s="250">
        <f>SUM(E27:E28)</f>
        <v>1536</v>
      </c>
      <c r="F26" s="1164">
        <f>(G26*1000)/E26</f>
        <v>67.05729166666667</v>
      </c>
      <c r="G26" s="252">
        <f>SUM(G27:G28)</f>
        <v>103</v>
      </c>
      <c r="H26" s="1157" t="s">
        <v>464</v>
      </c>
      <c r="I26" s="1158" t="s">
        <v>464</v>
      </c>
      <c r="J26" s="1159" t="s">
        <v>464</v>
      </c>
      <c r="K26" s="1167" t="s">
        <v>1286</v>
      </c>
    </row>
    <row r="27" spans="1:11" ht="21" customHeight="1">
      <c r="A27" s="1169" t="s">
        <v>586</v>
      </c>
      <c r="B27" s="1157">
        <v>996</v>
      </c>
      <c r="C27" s="1161">
        <f>(D27*1000)/B27</f>
        <v>20.080321285140563</v>
      </c>
      <c r="D27" s="1158">
        <v>20</v>
      </c>
      <c r="E27" s="240">
        <v>565</v>
      </c>
      <c r="F27" s="1161">
        <f>(G27*1000)/E27</f>
        <v>40.70796460176991</v>
      </c>
      <c r="G27" s="241">
        <v>23</v>
      </c>
      <c r="H27" s="1157" t="s">
        <v>464</v>
      </c>
      <c r="I27" s="1158" t="s">
        <v>464</v>
      </c>
      <c r="J27" s="1159" t="s">
        <v>464</v>
      </c>
      <c r="K27" s="1160" t="s">
        <v>586</v>
      </c>
    </row>
    <row r="28" spans="1:11" ht="21" customHeight="1">
      <c r="A28" s="1169" t="s">
        <v>587</v>
      </c>
      <c r="B28" s="240">
        <v>2396</v>
      </c>
      <c r="C28" s="1161">
        <f>(D28*1000)/B28</f>
        <v>23.78964941569282</v>
      </c>
      <c r="D28" s="241">
        <v>57</v>
      </c>
      <c r="E28" s="240">
        <v>971</v>
      </c>
      <c r="F28" s="1161">
        <f>(G28*1000)/E28</f>
        <v>82.38928939237898</v>
      </c>
      <c r="G28" s="241">
        <v>80</v>
      </c>
      <c r="H28" s="1157" t="s">
        <v>464</v>
      </c>
      <c r="I28" s="1158" t="s">
        <v>464</v>
      </c>
      <c r="J28" s="1159" t="s">
        <v>464</v>
      </c>
      <c r="K28" s="1160" t="s">
        <v>587</v>
      </c>
    </row>
    <row r="29" spans="1:11" ht="21" customHeight="1">
      <c r="A29" s="1169"/>
      <c r="B29" s="240"/>
      <c r="C29" s="111"/>
      <c r="D29" s="241"/>
      <c r="E29" s="240"/>
      <c r="F29" s="111"/>
      <c r="G29" s="241"/>
      <c r="H29" s="1170"/>
      <c r="I29" s="1171"/>
      <c r="J29" s="1172"/>
      <c r="K29" s="1160"/>
    </row>
    <row r="30" spans="1:11" ht="21" customHeight="1">
      <c r="A30" s="1174" t="s">
        <v>1287</v>
      </c>
      <c r="B30" s="250">
        <f>SUM(B31:B33)</f>
        <v>13654</v>
      </c>
      <c r="C30" s="1164">
        <f>(D30*1000)/B30</f>
        <v>9.22806503588692</v>
      </c>
      <c r="D30" s="252">
        <f>SUM(D31:D33)</f>
        <v>126</v>
      </c>
      <c r="E30" s="250">
        <f>SUM(E31:E33)</f>
        <v>50</v>
      </c>
      <c r="F30" s="1164">
        <f>(G30*1000)/E30</f>
        <v>20</v>
      </c>
      <c r="G30" s="1179">
        <f>SUM(G31)</f>
        <v>1</v>
      </c>
      <c r="H30" s="250">
        <f>SUM(H31:H33)</f>
        <v>1380</v>
      </c>
      <c r="I30" s="1164">
        <f>(J30*1000)/H30</f>
        <v>4.3478260869565215</v>
      </c>
      <c r="J30" s="1177">
        <f>SUM(J31:J33)</f>
        <v>6</v>
      </c>
      <c r="K30" s="1167" t="s">
        <v>1287</v>
      </c>
    </row>
    <row r="31" spans="1:11" ht="21" customHeight="1">
      <c r="A31" s="1169" t="s">
        <v>1273</v>
      </c>
      <c r="B31" s="111">
        <v>3144</v>
      </c>
      <c r="C31" s="1161">
        <f>(D31*1000)/B31</f>
        <v>8.587786259541986</v>
      </c>
      <c r="D31" s="1189">
        <v>27</v>
      </c>
      <c r="E31" s="240">
        <v>50</v>
      </c>
      <c r="F31" s="1161">
        <f>(G31*1000)/E31</f>
        <v>20</v>
      </c>
      <c r="G31" s="1179">
        <v>1</v>
      </c>
      <c r="H31" s="1866">
        <v>1000</v>
      </c>
      <c r="I31" s="2387" t="s">
        <v>464</v>
      </c>
      <c r="J31" s="2441" t="s">
        <v>464</v>
      </c>
      <c r="K31" s="1160" t="s">
        <v>1273</v>
      </c>
    </row>
    <row r="32" spans="1:11" ht="21" customHeight="1">
      <c r="A32" s="1169" t="s">
        <v>596</v>
      </c>
      <c r="B32" s="111">
        <v>2990</v>
      </c>
      <c r="C32" s="1161">
        <f>(D32*1000)/B32</f>
        <v>10.702341137123746</v>
      </c>
      <c r="D32" s="2405">
        <v>32</v>
      </c>
      <c r="E32" s="1157" t="s">
        <v>464</v>
      </c>
      <c r="F32" s="1179" t="s">
        <v>464</v>
      </c>
      <c r="G32" s="1179" t="s">
        <v>464</v>
      </c>
      <c r="H32" s="1866">
        <v>150</v>
      </c>
      <c r="I32" s="1499">
        <f>(J32*1000)/H32</f>
        <v>6.666666666666667</v>
      </c>
      <c r="J32" s="1867">
        <v>1</v>
      </c>
      <c r="K32" s="1160" t="s">
        <v>596</v>
      </c>
    </row>
    <row r="33" spans="1:11" ht="21" customHeight="1" thickBot="1">
      <c r="A33" s="1180" t="s">
        <v>595</v>
      </c>
      <c r="B33" s="1129">
        <v>7520</v>
      </c>
      <c r="C33" s="1161">
        <f>(D33*1000)/B33</f>
        <v>8.909574468085106</v>
      </c>
      <c r="D33" s="1129">
        <v>67</v>
      </c>
      <c r="E33" s="1183" t="s">
        <v>464</v>
      </c>
      <c r="F33" s="1184" t="s">
        <v>464</v>
      </c>
      <c r="G33" s="1184" t="s">
        <v>464</v>
      </c>
      <c r="H33" s="1868">
        <v>230</v>
      </c>
      <c r="I33" s="1869">
        <f>(J33*1000)/H33</f>
        <v>21.73913043478261</v>
      </c>
      <c r="J33" s="1870">
        <v>5</v>
      </c>
      <c r="K33" s="1186" t="s">
        <v>595</v>
      </c>
    </row>
    <row r="34" spans="1:11" ht="20.25" customHeight="1" hidden="1">
      <c r="A34" s="1187"/>
      <c r="B34"/>
      <c r="C34"/>
      <c r="D34"/>
      <c r="E34" s="1161"/>
      <c r="F34" s="1161"/>
      <c r="G34" s="1161"/>
      <c r="H34" s="1161"/>
      <c r="I34" s="1164"/>
      <c r="J34" s="1164"/>
      <c r="K34" s="1188"/>
    </row>
    <row r="35" spans="1:11" ht="20.25" customHeight="1" hidden="1">
      <c r="A35" s="1187"/>
      <c r="B35"/>
      <c r="C35"/>
      <c r="D35"/>
      <c r="E35" s="1161"/>
      <c r="F35" s="1161"/>
      <c r="G35" s="1161"/>
      <c r="H35" s="1161"/>
      <c r="I35" s="1164"/>
      <c r="J35" s="1164"/>
      <c r="K35" s="1188"/>
    </row>
    <row r="36" spans="1:11" ht="20.25" customHeight="1" hidden="1">
      <c r="A36" s="1129"/>
      <c r="B36"/>
      <c r="C36"/>
      <c r="D36"/>
      <c r="E36" s="1189"/>
      <c r="F36" s="1190"/>
      <c r="G36" s="1189"/>
      <c r="H36" s="1189"/>
      <c r="I36" s="1190"/>
      <c r="J36" s="1189"/>
      <c r="K36" s="1131"/>
    </row>
    <row r="37" spans="1:11" ht="20.25" customHeight="1">
      <c r="A37" s="1129"/>
      <c r="B37"/>
      <c r="C37" s="355"/>
      <c r="D37"/>
      <c r="E37" s="1129"/>
      <c r="F37" s="1130"/>
      <c r="G37" s="1129"/>
      <c r="H37" s="1129"/>
      <c r="I37" s="1130"/>
      <c r="J37" s="1129"/>
      <c r="K37" s="1131"/>
    </row>
    <row r="38" spans="1:11" ht="20.25" customHeight="1">
      <c r="A38" s="1128" t="s">
        <v>662</v>
      </c>
      <c r="B38" s="1129"/>
      <c r="C38" s="1130"/>
      <c r="D38" s="1129"/>
      <c r="E38" s="1129"/>
      <c r="F38" s="1130"/>
      <c r="G38" s="1129"/>
      <c r="H38" s="1129"/>
      <c r="I38" s="1130"/>
      <c r="J38" s="1129"/>
      <c r="K38" s="1131"/>
    </row>
    <row r="39" spans="1:11" ht="20.25" customHeight="1" thickBot="1">
      <c r="A39" s="1129"/>
      <c r="B39" s="1129"/>
      <c r="C39" s="1130"/>
      <c r="D39" s="1129"/>
      <c r="E39" s="1129"/>
      <c r="F39" s="1130"/>
      <c r="G39" s="1129"/>
      <c r="H39" s="1129"/>
      <c r="I39" s="1130"/>
      <c r="J39" s="1129"/>
      <c r="K39" s="1131"/>
    </row>
    <row r="40" spans="1:11" ht="22.5" customHeight="1" thickBot="1">
      <c r="A40" s="1191"/>
      <c r="B40" s="1133" t="s">
        <v>663</v>
      </c>
      <c r="C40" s="1134"/>
      <c r="D40" s="1135"/>
      <c r="E40" s="1133" t="s">
        <v>664</v>
      </c>
      <c r="F40" s="1134"/>
      <c r="G40" s="1135"/>
      <c r="H40" s="1133" t="s">
        <v>665</v>
      </c>
      <c r="I40" s="1134"/>
      <c r="J40" s="1136"/>
      <c r="K40" s="1192"/>
    </row>
    <row r="41" spans="1:11" ht="30" customHeight="1">
      <c r="A41" s="1138" t="s">
        <v>566</v>
      </c>
      <c r="B41" s="1139" t="s">
        <v>658</v>
      </c>
      <c r="C41" s="1140" t="s">
        <v>568</v>
      </c>
      <c r="D41" s="1139" t="s">
        <v>569</v>
      </c>
      <c r="E41" s="1139" t="s">
        <v>658</v>
      </c>
      <c r="F41" s="1140" t="s">
        <v>568</v>
      </c>
      <c r="G41" s="1139" t="s">
        <v>569</v>
      </c>
      <c r="H41" s="1139" t="s">
        <v>658</v>
      </c>
      <c r="I41" s="1140" t="s">
        <v>568</v>
      </c>
      <c r="J41" s="1139" t="s">
        <v>569</v>
      </c>
      <c r="K41" s="1141" t="s">
        <v>570</v>
      </c>
    </row>
    <row r="42" spans="1:11" ht="30" customHeight="1">
      <c r="A42" s="1138" t="s">
        <v>571</v>
      </c>
      <c r="B42" s="1142" t="s">
        <v>659</v>
      </c>
      <c r="C42" s="1143" t="s">
        <v>573</v>
      </c>
      <c r="D42" s="1142" t="s">
        <v>574</v>
      </c>
      <c r="E42" s="1142" t="s">
        <v>659</v>
      </c>
      <c r="F42" s="1143" t="s">
        <v>573</v>
      </c>
      <c r="G42" s="1142" t="s">
        <v>574</v>
      </c>
      <c r="H42" s="1142" t="s">
        <v>659</v>
      </c>
      <c r="I42" s="1143" t="s">
        <v>573</v>
      </c>
      <c r="J42" s="1142" t="s">
        <v>574</v>
      </c>
      <c r="K42" s="1141" t="s">
        <v>575</v>
      </c>
    </row>
    <row r="43" spans="1:11" ht="30" customHeight="1" thickBot="1">
      <c r="A43" s="1195"/>
      <c r="B43" s="1142" t="s">
        <v>660</v>
      </c>
      <c r="C43" s="1194" t="s">
        <v>666</v>
      </c>
      <c r="D43" s="1193" t="s">
        <v>577</v>
      </c>
      <c r="E43" s="1142" t="s">
        <v>660</v>
      </c>
      <c r="F43" s="1194" t="s">
        <v>666</v>
      </c>
      <c r="G43" s="1193" t="s">
        <v>577</v>
      </c>
      <c r="H43" s="1142" t="s">
        <v>660</v>
      </c>
      <c r="I43" s="1194" t="s">
        <v>666</v>
      </c>
      <c r="J43" s="1193" t="s">
        <v>577</v>
      </c>
      <c r="K43" s="1196"/>
    </row>
    <row r="44" spans="1:11" s="190" customFormat="1" ht="24" customHeight="1" thickBot="1">
      <c r="A44" s="1146" t="s">
        <v>578</v>
      </c>
      <c r="B44" s="224">
        <f>SUM(B45+B50+B57+B63+B67)</f>
        <v>14229</v>
      </c>
      <c r="C44" s="261">
        <f>(D44*1000)/B44</f>
        <v>34.56110759716073</v>
      </c>
      <c r="D44" s="1134">
        <f>SUM(D45+D50+D57+D63+D67)</f>
        <v>491.77</v>
      </c>
      <c r="E44" s="224">
        <f>SUM(E45+E50+E63)</f>
        <v>538</v>
      </c>
      <c r="F44" s="261">
        <f>(G44*1000)/E44</f>
        <v>52.43494423791822</v>
      </c>
      <c r="G44" s="1134">
        <f>SUM(G45+G50+G63)</f>
        <v>28.21</v>
      </c>
      <c r="H44" s="224">
        <f>SUM(H45+H50+H57+H63+H67)</f>
        <v>13202</v>
      </c>
      <c r="I44" s="261">
        <f>(J44*1000)/H44</f>
        <v>16.512649598545675</v>
      </c>
      <c r="J44" s="277">
        <f>SUM(J45+J50+J57+J63+J67)</f>
        <v>218</v>
      </c>
      <c r="K44" s="1148" t="s">
        <v>579</v>
      </c>
    </row>
    <row r="45" spans="1:11" s="190" customFormat="1" ht="21" customHeight="1">
      <c r="A45" s="1149" t="s">
        <v>580</v>
      </c>
      <c r="B45" s="278">
        <f>SUM(B46:B48)</f>
        <v>1046</v>
      </c>
      <c r="C45" s="1150">
        <f>(D45*1000)/B45</f>
        <v>16.118546845124282</v>
      </c>
      <c r="D45" s="1197">
        <f>SUM(D46:D48)</f>
        <v>16.86</v>
      </c>
      <c r="E45" s="250">
        <f>SUM(E46:E48)</f>
        <v>14</v>
      </c>
      <c r="F45" s="1164">
        <f>(G45*1000)/E45</f>
        <v>15</v>
      </c>
      <c r="G45" s="1165">
        <f>SUM(G46:G48)</f>
        <v>0.21</v>
      </c>
      <c r="H45" s="250">
        <f>SUM(H46:H48)</f>
        <v>1179</v>
      </c>
      <c r="I45" s="1164">
        <f>(J45*1000)/H45</f>
        <v>6.785411365564038</v>
      </c>
      <c r="J45" s="1165">
        <f>SUM(J46:J48)</f>
        <v>8</v>
      </c>
      <c r="K45" s="1155" t="s">
        <v>581</v>
      </c>
    </row>
    <row r="46" spans="1:11" ht="21" customHeight="1">
      <c r="A46" s="1156" t="s">
        <v>582</v>
      </c>
      <c r="B46" s="1198" t="s">
        <v>464</v>
      </c>
      <c r="C46" s="1179" t="s">
        <v>464</v>
      </c>
      <c r="D46" s="1199" t="s">
        <v>464</v>
      </c>
      <c r="E46" s="1198" t="s">
        <v>464</v>
      </c>
      <c r="F46" s="1179" t="s">
        <v>464</v>
      </c>
      <c r="G46" s="1199" t="s">
        <v>464</v>
      </c>
      <c r="H46" s="1198" t="s">
        <v>464</v>
      </c>
      <c r="I46" s="1179" t="s">
        <v>464</v>
      </c>
      <c r="J46" s="1199" t="s">
        <v>464</v>
      </c>
      <c r="K46" s="1160" t="s">
        <v>583</v>
      </c>
    </row>
    <row r="47" spans="1:11" ht="21" customHeight="1">
      <c r="A47" s="1156" t="s">
        <v>584</v>
      </c>
      <c r="B47" s="1157">
        <v>881</v>
      </c>
      <c r="C47" s="1161">
        <f>(D47*1000)/B47</f>
        <v>15.698070374574348</v>
      </c>
      <c r="D47" s="1200">
        <v>13.83</v>
      </c>
      <c r="E47" s="1198" t="s">
        <v>464</v>
      </c>
      <c r="F47" s="1179" t="s">
        <v>464</v>
      </c>
      <c r="G47" s="1199" t="s">
        <v>464</v>
      </c>
      <c r="H47" s="1157">
        <v>1179</v>
      </c>
      <c r="I47" s="1161">
        <f>(J47*1000)/H47</f>
        <v>6.785411365564038</v>
      </c>
      <c r="J47" s="1159">
        <v>8</v>
      </c>
      <c r="K47" s="1160" t="s">
        <v>584</v>
      </c>
    </row>
    <row r="48" spans="1:11" ht="21" customHeight="1">
      <c r="A48" s="1156" t="s">
        <v>585</v>
      </c>
      <c r="B48" s="1157">
        <v>165</v>
      </c>
      <c r="C48" s="1161">
        <f>(D48*1000)/B48</f>
        <v>18.363636363636363</v>
      </c>
      <c r="D48" s="1200">
        <v>3.03</v>
      </c>
      <c r="E48" s="1157">
        <v>14</v>
      </c>
      <c r="F48" s="1161">
        <f>(G48*1000)/E48</f>
        <v>15</v>
      </c>
      <c r="G48" s="1200">
        <v>0.21</v>
      </c>
      <c r="H48" s="1198" t="s">
        <v>464</v>
      </c>
      <c r="I48" s="1179" t="s">
        <v>464</v>
      </c>
      <c r="J48" s="1199" t="s">
        <v>464</v>
      </c>
      <c r="K48" s="1160" t="s">
        <v>585</v>
      </c>
    </row>
    <row r="49" spans="1:14" ht="21" customHeight="1">
      <c r="A49" s="1156"/>
      <c r="B49" s="240"/>
      <c r="C49" s="1161"/>
      <c r="D49" s="1162"/>
      <c r="E49" s="240"/>
      <c r="F49" s="1161"/>
      <c r="G49" s="1162"/>
      <c r="H49" s="240"/>
      <c r="I49" s="1161"/>
      <c r="J49" s="1162"/>
      <c r="K49" s="1160"/>
      <c r="N49" s="582"/>
    </row>
    <row r="50" spans="1:11" ht="21" customHeight="1">
      <c r="A50" s="1163" t="s">
        <v>588</v>
      </c>
      <c r="B50" s="250">
        <f>SUM(B51:B55)</f>
        <v>2690</v>
      </c>
      <c r="C50" s="1164">
        <f>(D50*1000)/B50</f>
        <v>19.516728624535315</v>
      </c>
      <c r="D50" s="1166">
        <f>SUM(D51:D55)</f>
        <v>52.5</v>
      </c>
      <c r="E50" s="250">
        <f>SUM(E51:E55)</f>
        <v>314</v>
      </c>
      <c r="F50" s="1164">
        <f>(G50*1000)/E50</f>
        <v>70.06369426751593</v>
      </c>
      <c r="G50" s="1166">
        <f>SUM(G51:G55)</f>
        <v>22</v>
      </c>
      <c r="H50" s="250">
        <f>SUM(H51:H55)</f>
        <v>2928</v>
      </c>
      <c r="I50" s="1164">
        <f>(J50*1000)/H50</f>
        <v>5.122950819672131</v>
      </c>
      <c r="J50" s="1165">
        <f>SUM(J51:J55)</f>
        <v>15</v>
      </c>
      <c r="K50" s="1167" t="s">
        <v>589</v>
      </c>
    </row>
    <row r="51" spans="1:11" ht="21" customHeight="1">
      <c r="A51" s="1156" t="s">
        <v>590</v>
      </c>
      <c r="B51" s="240">
        <v>2420</v>
      </c>
      <c r="C51" s="1161">
        <f>(D51*1000)/B51</f>
        <v>15.49586776859504</v>
      </c>
      <c r="D51" s="1168">
        <v>37.5</v>
      </c>
      <c r="E51" s="240">
        <v>264</v>
      </c>
      <c r="F51" s="1161">
        <f>(G51*1000)/E51</f>
        <v>77.65151515151516</v>
      </c>
      <c r="G51" s="1168">
        <v>20.5</v>
      </c>
      <c r="H51" s="240">
        <v>2928</v>
      </c>
      <c r="I51" s="1161">
        <f>(J51*1000)/H51</f>
        <v>5.122950819672131</v>
      </c>
      <c r="J51" s="1162">
        <v>15</v>
      </c>
      <c r="K51" s="1160" t="s">
        <v>591</v>
      </c>
    </row>
    <row r="52" spans="1:11" s="190" customFormat="1" ht="21" customHeight="1">
      <c r="A52" s="1156" t="s">
        <v>592</v>
      </c>
      <c r="B52" s="1198" t="s">
        <v>464</v>
      </c>
      <c r="C52" s="1179" t="s">
        <v>464</v>
      </c>
      <c r="D52" s="1199" t="s">
        <v>464</v>
      </c>
      <c r="E52" s="1198" t="s">
        <v>464</v>
      </c>
      <c r="F52" s="1179" t="s">
        <v>464</v>
      </c>
      <c r="G52" s="1199" t="s">
        <v>464</v>
      </c>
      <c r="H52" s="1198" t="s">
        <v>464</v>
      </c>
      <c r="I52" s="1158" t="s">
        <v>464</v>
      </c>
      <c r="J52" s="1199" t="s">
        <v>464</v>
      </c>
      <c r="K52" s="1160" t="s">
        <v>593</v>
      </c>
    </row>
    <row r="53" spans="1:11" ht="21" customHeight="1">
      <c r="A53" s="1156" t="s">
        <v>594</v>
      </c>
      <c r="B53" s="240">
        <v>270</v>
      </c>
      <c r="C53" s="1161">
        <f>(D53*1000)/B53</f>
        <v>55.55555555555556</v>
      </c>
      <c r="D53" s="1168">
        <v>15</v>
      </c>
      <c r="E53" s="240">
        <v>50</v>
      </c>
      <c r="F53" s="1161">
        <f>(G53*1000)/E53</f>
        <v>30</v>
      </c>
      <c r="G53" s="1168">
        <v>1.5</v>
      </c>
      <c r="H53" s="1198" t="s">
        <v>464</v>
      </c>
      <c r="I53" s="1158" t="s">
        <v>464</v>
      </c>
      <c r="J53" s="1199" t="s">
        <v>464</v>
      </c>
      <c r="K53" s="1160" t="s">
        <v>594</v>
      </c>
    </row>
    <row r="54" spans="1:11" ht="21" customHeight="1">
      <c r="A54" s="1156" t="s">
        <v>599</v>
      </c>
      <c r="B54" s="1198" t="s">
        <v>464</v>
      </c>
      <c r="C54" s="1179" t="s">
        <v>464</v>
      </c>
      <c r="D54" s="1199" t="s">
        <v>464</v>
      </c>
      <c r="E54" s="1157"/>
      <c r="F54" s="1179" t="s">
        <v>464</v>
      </c>
      <c r="G54" s="1199" t="s">
        <v>464</v>
      </c>
      <c r="H54" s="1198" t="s">
        <v>464</v>
      </c>
      <c r="I54" s="1158" t="s">
        <v>464</v>
      </c>
      <c r="J54" s="1199" t="s">
        <v>464</v>
      </c>
      <c r="K54" s="1160" t="s">
        <v>599</v>
      </c>
    </row>
    <row r="55" spans="1:11" ht="21" customHeight="1">
      <c r="A55" s="1156" t="s">
        <v>598</v>
      </c>
      <c r="B55" s="1198" t="s">
        <v>464</v>
      </c>
      <c r="C55" s="1179" t="s">
        <v>464</v>
      </c>
      <c r="D55" s="1199" t="s">
        <v>464</v>
      </c>
      <c r="E55" s="1198" t="s">
        <v>464</v>
      </c>
      <c r="F55" s="1179" t="s">
        <v>464</v>
      </c>
      <c r="G55" s="1199" t="s">
        <v>464</v>
      </c>
      <c r="H55" s="1198" t="s">
        <v>464</v>
      </c>
      <c r="I55" s="1158" t="s">
        <v>464</v>
      </c>
      <c r="J55" s="1199" t="s">
        <v>464</v>
      </c>
      <c r="K55" s="1160" t="s">
        <v>598</v>
      </c>
    </row>
    <row r="56" spans="1:11" ht="21" customHeight="1">
      <c r="A56" s="1169"/>
      <c r="B56" s="240"/>
      <c r="C56" s="1171"/>
      <c r="D56" s="1172"/>
      <c r="E56" s="1170"/>
      <c r="F56" s="1171"/>
      <c r="G56" s="1172"/>
      <c r="H56" s="240"/>
      <c r="I56" s="1171"/>
      <c r="J56" s="1172"/>
      <c r="K56" s="1160"/>
    </row>
    <row r="57" spans="1:11" ht="21" customHeight="1">
      <c r="A57" s="1163" t="s">
        <v>601</v>
      </c>
      <c r="B57" s="250">
        <f>SUM(B58:B61)</f>
        <v>1783</v>
      </c>
      <c r="C57" s="1164">
        <f>(D57*1000)/B57</f>
        <v>15.372966909702749</v>
      </c>
      <c r="D57" s="1201">
        <f>SUM(D58:D61)</f>
        <v>27.41</v>
      </c>
      <c r="E57" s="1198" t="s">
        <v>464</v>
      </c>
      <c r="F57" s="1179" t="s">
        <v>464</v>
      </c>
      <c r="G57" s="1199" t="s">
        <v>464</v>
      </c>
      <c r="H57" s="250">
        <f>SUM(H58:H61)</f>
        <v>3603</v>
      </c>
      <c r="I57" s="1164">
        <f>(J57*1000)/H57</f>
        <v>12.489592006661116</v>
      </c>
      <c r="J57" s="1165">
        <f>SUM(J58:J61)</f>
        <v>45</v>
      </c>
      <c r="K57" s="1167" t="s">
        <v>602</v>
      </c>
    </row>
    <row r="58" spans="1:11" ht="21" customHeight="1">
      <c r="A58" s="1156" t="s">
        <v>603</v>
      </c>
      <c r="B58" s="1173">
        <v>1188</v>
      </c>
      <c r="C58" s="1161">
        <f>(D58*1000)/B58</f>
        <v>16.835016835016834</v>
      </c>
      <c r="D58" s="1168">
        <v>20</v>
      </c>
      <c r="E58" s="1198" t="s">
        <v>464</v>
      </c>
      <c r="F58" s="1179" t="s">
        <v>464</v>
      </c>
      <c r="G58" s="1199" t="s">
        <v>464</v>
      </c>
      <c r="H58" s="1173">
        <v>915</v>
      </c>
      <c r="I58" s="1161">
        <f>(J58*1000)/H58</f>
        <v>18.579234972677597</v>
      </c>
      <c r="J58" s="1162">
        <v>17</v>
      </c>
      <c r="K58" s="1160" t="s">
        <v>604</v>
      </c>
    </row>
    <row r="59" spans="1:11" ht="21" customHeight="1">
      <c r="A59" s="1156" t="s">
        <v>605</v>
      </c>
      <c r="B59" s="240">
        <v>260</v>
      </c>
      <c r="C59" s="1161">
        <f>(D59*1000)/B59</f>
        <v>16.96153846153846</v>
      </c>
      <c r="D59" s="1202">
        <v>4.41</v>
      </c>
      <c r="E59" s="1198" t="s">
        <v>464</v>
      </c>
      <c r="F59" s="1179" t="s">
        <v>464</v>
      </c>
      <c r="G59" s="1199" t="s">
        <v>464</v>
      </c>
      <c r="H59" s="240">
        <v>2503</v>
      </c>
      <c r="I59" s="1161">
        <f>(J59*1000)/H59</f>
        <v>9.588493807431083</v>
      </c>
      <c r="J59" s="1162">
        <v>24</v>
      </c>
      <c r="K59" s="1160" t="s">
        <v>606</v>
      </c>
    </row>
    <row r="60" spans="1:11" ht="21" customHeight="1">
      <c r="A60" s="1156" t="s">
        <v>607</v>
      </c>
      <c r="B60" s="1198" t="s">
        <v>464</v>
      </c>
      <c r="C60" s="1179" t="s">
        <v>464</v>
      </c>
      <c r="D60" s="1199" t="s">
        <v>464</v>
      </c>
      <c r="E60" s="1198" t="s">
        <v>464</v>
      </c>
      <c r="F60" s="1179" t="s">
        <v>464</v>
      </c>
      <c r="G60" s="1199" t="s">
        <v>464</v>
      </c>
      <c r="H60" s="1198" t="s">
        <v>464</v>
      </c>
      <c r="I60" s="1158" t="s">
        <v>464</v>
      </c>
      <c r="J60" s="1199" t="s">
        <v>464</v>
      </c>
      <c r="K60" s="1160" t="s">
        <v>607</v>
      </c>
    </row>
    <row r="61" spans="1:11" ht="21" customHeight="1">
      <c r="A61" s="1156" t="s">
        <v>608</v>
      </c>
      <c r="B61" s="240">
        <v>335</v>
      </c>
      <c r="C61" s="1161">
        <f>(D61*1000)/B61</f>
        <v>8.955223880597014</v>
      </c>
      <c r="D61" s="1865">
        <v>3</v>
      </c>
      <c r="E61" s="1198" t="s">
        <v>464</v>
      </c>
      <c r="F61" s="1179" t="s">
        <v>464</v>
      </c>
      <c r="G61" s="1199" t="s">
        <v>464</v>
      </c>
      <c r="H61" s="240">
        <v>185</v>
      </c>
      <c r="I61" s="1161">
        <f>(J61*1000)/H61</f>
        <v>21.62162162162162</v>
      </c>
      <c r="J61" s="1162">
        <v>4</v>
      </c>
      <c r="K61" s="1160" t="s">
        <v>608</v>
      </c>
    </row>
    <row r="62" spans="1:11" s="190" customFormat="1" ht="21" customHeight="1">
      <c r="A62" s="1174"/>
      <c r="B62" s="250"/>
      <c r="C62" s="1176"/>
      <c r="D62" s="1177"/>
      <c r="E62" s="1175"/>
      <c r="F62" s="1176"/>
      <c r="G62" s="1177"/>
      <c r="H62" s="250"/>
      <c r="I62" s="1176"/>
      <c r="J62" s="1177"/>
      <c r="K62" s="1178"/>
    </row>
    <row r="63" spans="1:11" ht="21" customHeight="1">
      <c r="A63" s="1174" t="s">
        <v>1286</v>
      </c>
      <c r="B63" s="250">
        <f>SUM(B64:B65)</f>
        <v>8170</v>
      </c>
      <c r="C63" s="1164">
        <f>(D63*1000)/B63</f>
        <v>46.14443084455324</v>
      </c>
      <c r="D63" s="1177">
        <f>SUM(D64:D65)</f>
        <v>377</v>
      </c>
      <c r="E63" s="1175">
        <f>SUM(E64:E65)</f>
        <v>210</v>
      </c>
      <c r="F63" s="1164">
        <f>(G63*1000)/E63</f>
        <v>28.571428571428573</v>
      </c>
      <c r="G63" s="1177">
        <f>SUM(G64:G65)</f>
        <v>6</v>
      </c>
      <c r="H63" s="250">
        <f>SUM(H64:H65)</f>
        <v>3347</v>
      </c>
      <c r="I63" s="1164">
        <f>(J63*1000)/H63</f>
        <v>31.3713773528533</v>
      </c>
      <c r="J63" s="1177">
        <f>SUM(J64:J65)</f>
        <v>105</v>
      </c>
      <c r="K63" s="1167" t="s">
        <v>1286</v>
      </c>
    </row>
    <row r="64" spans="1:11" ht="21" customHeight="1">
      <c r="A64" s="1169" t="s">
        <v>586</v>
      </c>
      <c r="B64" s="240">
        <v>2690</v>
      </c>
      <c r="C64" s="1161">
        <f>(D64*1000)/B64</f>
        <v>34.20074349442379</v>
      </c>
      <c r="D64" s="1172">
        <v>92</v>
      </c>
      <c r="E64" s="1170">
        <v>210</v>
      </c>
      <c r="F64" s="1161">
        <f>(G64*1000)/E64</f>
        <v>28.571428571428573</v>
      </c>
      <c r="G64" s="1172">
        <v>6</v>
      </c>
      <c r="H64" s="240">
        <v>1645</v>
      </c>
      <c r="I64" s="1161">
        <f>(J64*1000)/H64</f>
        <v>26.13981762917933</v>
      </c>
      <c r="J64" s="1172">
        <v>43</v>
      </c>
      <c r="K64" s="1160" t="s">
        <v>586</v>
      </c>
    </row>
    <row r="65" spans="1:11" ht="21" customHeight="1">
      <c r="A65" s="1169" t="s">
        <v>587</v>
      </c>
      <c r="B65" s="240">
        <v>5480</v>
      </c>
      <c r="C65" s="1161">
        <f>(D65*1000)/B65</f>
        <v>52.00729927007299</v>
      </c>
      <c r="D65" s="1172">
        <v>285</v>
      </c>
      <c r="E65" s="1198" t="s">
        <v>464</v>
      </c>
      <c r="F65" s="1179" t="s">
        <v>464</v>
      </c>
      <c r="G65" s="1199" t="s">
        <v>464</v>
      </c>
      <c r="H65" s="240">
        <v>1702</v>
      </c>
      <c r="I65" s="1161">
        <f>(J65*1000)/H65</f>
        <v>36.427732079905994</v>
      </c>
      <c r="J65" s="1172">
        <v>62</v>
      </c>
      <c r="K65" s="1160" t="s">
        <v>587</v>
      </c>
    </row>
    <row r="66" spans="1:11" ht="21" customHeight="1">
      <c r="A66" s="1169"/>
      <c r="B66" s="240"/>
      <c r="C66" s="1171"/>
      <c r="D66" s="1172"/>
      <c r="E66" s="1170"/>
      <c r="F66" s="1171"/>
      <c r="G66" s="1172"/>
      <c r="H66" s="240"/>
      <c r="I66" s="1171"/>
      <c r="J66" s="1172"/>
      <c r="K66" s="1160"/>
    </row>
    <row r="67" spans="1:11" ht="21" customHeight="1">
      <c r="A67" s="1174" t="s">
        <v>1287</v>
      </c>
      <c r="B67" s="250">
        <f>SUM(B68:B70)</f>
        <v>540</v>
      </c>
      <c r="C67" s="1164">
        <f>(D67*1000)/B67</f>
        <v>33.333333333333336</v>
      </c>
      <c r="D67" s="1177">
        <f>SUM(D68:D70)</f>
        <v>18</v>
      </c>
      <c r="E67" s="1198" t="s">
        <v>464</v>
      </c>
      <c r="F67" s="1179" t="s">
        <v>464</v>
      </c>
      <c r="G67" s="1199" t="s">
        <v>464</v>
      </c>
      <c r="H67" s="1198">
        <f>SUM(H68:H70)</f>
        <v>2145</v>
      </c>
      <c r="I67" s="1164">
        <f>(J67*1000)/H67</f>
        <v>20.97902097902098</v>
      </c>
      <c r="J67" s="1199">
        <f>SUM(J68:J70)</f>
        <v>45</v>
      </c>
      <c r="K67" s="1167" t="s">
        <v>1287</v>
      </c>
    </row>
    <row r="68" spans="1:11" ht="21" customHeight="1">
      <c r="A68" s="1169" t="s">
        <v>1273</v>
      </c>
      <c r="B68" s="1198" t="s">
        <v>464</v>
      </c>
      <c r="C68" s="1179" t="s">
        <v>464</v>
      </c>
      <c r="D68" s="1199" t="s">
        <v>464</v>
      </c>
      <c r="E68" s="1198" t="s">
        <v>464</v>
      </c>
      <c r="F68" s="1179" t="s">
        <v>464</v>
      </c>
      <c r="G68" s="1199" t="s">
        <v>464</v>
      </c>
      <c r="H68" s="1198" t="s">
        <v>464</v>
      </c>
      <c r="I68" s="1158" t="s">
        <v>464</v>
      </c>
      <c r="J68" s="1199" t="s">
        <v>464</v>
      </c>
      <c r="K68" s="1160" t="s">
        <v>1273</v>
      </c>
    </row>
    <row r="69" spans="1:11" ht="21" customHeight="1">
      <c r="A69" s="1169" t="s">
        <v>596</v>
      </c>
      <c r="B69" s="240">
        <v>50</v>
      </c>
      <c r="C69" s="1161">
        <f>(D69*1000)/B69</f>
        <v>20</v>
      </c>
      <c r="D69" s="1172">
        <v>1</v>
      </c>
      <c r="E69" s="1198" t="s">
        <v>464</v>
      </c>
      <c r="F69" s="1179" t="s">
        <v>464</v>
      </c>
      <c r="G69" s="1199" t="s">
        <v>464</v>
      </c>
      <c r="H69" s="1198" t="s">
        <v>464</v>
      </c>
      <c r="I69" s="1158" t="s">
        <v>464</v>
      </c>
      <c r="J69" s="1199" t="s">
        <v>464</v>
      </c>
      <c r="K69" s="1160" t="s">
        <v>596</v>
      </c>
    </row>
    <row r="70" spans="1:11" ht="21" customHeight="1" thickBot="1">
      <c r="A70" s="1180" t="s">
        <v>595</v>
      </c>
      <c r="B70" s="254">
        <v>490</v>
      </c>
      <c r="C70" s="1181">
        <f>(D70*1000)/B70</f>
        <v>34.69387755102041</v>
      </c>
      <c r="D70" s="1182">
        <v>17</v>
      </c>
      <c r="E70" s="1203" t="s">
        <v>464</v>
      </c>
      <c r="F70" s="1184" t="s">
        <v>464</v>
      </c>
      <c r="G70" s="1204" t="s">
        <v>464</v>
      </c>
      <c r="H70" s="1183">
        <v>2145</v>
      </c>
      <c r="I70" s="1161">
        <f>(J70*1000)/H70</f>
        <v>20.97902097902098</v>
      </c>
      <c r="J70" s="1185">
        <v>45</v>
      </c>
      <c r="K70" s="1186" t="s">
        <v>595</v>
      </c>
    </row>
  </sheetData>
  <sheetProtection/>
  <printOptions/>
  <pageMargins left="0.74" right="0.5905511811023623" top="0.984251968503937" bottom="0.984251968503937" header="0.5118110236220472" footer="0.5118110236220472"/>
  <pageSetup horizontalDpi="300" verticalDpi="3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72"/>
  <sheetViews>
    <sheetView zoomScale="60" zoomScaleNormal="60" zoomScalePageLayoutView="0" workbookViewId="0" topLeftCell="A1">
      <selection activeCell="M61" sqref="M61"/>
    </sheetView>
  </sheetViews>
  <sheetFormatPr defaultColWidth="9.7109375" defaultRowHeight="12.75"/>
  <cols>
    <col min="1" max="1" width="21.57421875" style="155" customWidth="1"/>
    <col min="2" max="2" width="16.421875" style="155" customWidth="1"/>
    <col min="3" max="3" width="13.421875" style="405" customWidth="1"/>
    <col min="4" max="4" width="16.00390625" style="155" customWidth="1"/>
    <col min="5" max="5" width="16.421875" style="155" customWidth="1"/>
    <col min="6" max="6" width="12.7109375" style="405" customWidth="1"/>
    <col min="7" max="7" width="15.8515625" style="155" bestFit="1" customWidth="1"/>
    <col min="8" max="8" width="16.28125" style="155" customWidth="1"/>
    <col min="9" max="9" width="13.140625" style="405" customWidth="1"/>
    <col min="10" max="10" width="15.7109375" style="155" customWidth="1"/>
    <col min="11" max="11" width="22.421875" style="155" customWidth="1"/>
    <col min="12" max="12" width="10.7109375" style="155" customWidth="1"/>
    <col min="13" max="16384" width="9.7109375" style="155" customWidth="1"/>
  </cols>
  <sheetData>
    <row r="1" spans="1:11" s="158" customFormat="1" ht="21.75" customHeight="1">
      <c r="A1" s="154" t="s">
        <v>667</v>
      </c>
      <c r="B1" s="108"/>
      <c r="C1" s="1205"/>
      <c r="D1" s="108"/>
      <c r="E1" s="108"/>
      <c r="F1" s="1205"/>
      <c r="G1" s="108"/>
      <c r="H1" s="108"/>
      <c r="I1" s="1205"/>
      <c r="J1" s="108"/>
      <c r="K1" s="108"/>
    </row>
    <row r="2" spans="1:256" ht="13.5" customHeight="1">
      <c r="A2" s="154"/>
      <c r="B2" s="108"/>
      <c r="C2" s="1205"/>
      <c r="D2" s="108"/>
      <c r="E2" s="108"/>
      <c r="F2" s="1205"/>
      <c r="G2" s="108"/>
      <c r="H2" s="108"/>
      <c r="I2" s="1205"/>
      <c r="J2" s="108"/>
      <c r="K2" s="108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  <c r="DD2" s="304"/>
      <c r="DE2" s="304"/>
      <c r="DF2" s="304"/>
      <c r="DG2" s="304"/>
      <c r="DH2" s="304"/>
      <c r="DI2" s="304"/>
      <c r="DJ2" s="304"/>
      <c r="DK2" s="304"/>
      <c r="DL2" s="304"/>
      <c r="DM2" s="304"/>
      <c r="DN2" s="304"/>
      <c r="DO2" s="304"/>
      <c r="DP2" s="304"/>
      <c r="DQ2" s="304"/>
      <c r="DR2" s="304"/>
      <c r="DS2" s="304"/>
      <c r="DT2" s="304"/>
      <c r="DU2" s="304"/>
      <c r="DV2" s="304"/>
      <c r="DW2" s="304"/>
      <c r="DX2" s="304"/>
      <c r="DY2" s="304"/>
      <c r="DZ2" s="304"/>
      <c r="EA2" s="304"/>
      <c r="EB2" s="304"/>
      <c r="EC2" s="304"/>
      <c r="ED2" s="304"/>
      <c r="EE2" s="304"/>
      <c r="EF2" s="304"/>
      <c r="EG2" s="304"/>
      <c r="EH2" s="304"/>
      <c r="EI2" s="304"/>
      <c r="EJ2" s="304"/>
      <c r="EK2" s="304"/>
      <c r="EL2" s="304"/>
      <c r="EM2" s="304"/>
      <c r="EN2" s="304"/>
      <c r="EO2" s="304"/>
      <c r="EP2" s="304"/>
      <c r="EQ2" s="304"/>
      <c r="ER2" s="304"/>
      <c r="ES2" s="304"/>
      <c r="ET2" s="304"/>
      <c r="EU2" s="304"/>
      <c r="EV2" s="304"/>
      <c r="EW2" s="304"/>
      <c r="EX2" s="304"/>
      <c r="EY2" s="304"/>
      <c r="EZ2" s="304"/>
      <c r="FA2" s="304"/>
      <c r="FB2" s="304"/>
      <c r="FC2" s="304"/>
      <c r="FD2" s="304"/>
      <c r="FE2" s="304"/>
      <c r="FF2" s="304"/>
      <c r="FG2" s="304"/>
      <c r="FH2" s="304"/>
      <c r="FI2" s="304"/>
      <c r="FJ2" s="304"/>
      <c r="FK2" s="304"/>
      <c r="FL2" s="304"/>
      <c r="FM2" s="304"/>
      <c r="FN2" s="304"/>
      <c r="FO2" s="304"/>
      <c r="FP2" s="304"/>
      <c r="FQ2" s="304"/>
      <c r="FR2" s="304"/>
      <c r="FS2" s="304"/>
      <c r="FT2" s="304"/>
      <c r="FU2" s="304"/>
      <c r="FV2" s="304"/>
      <c r="FW2" s="304"/>
      <c r="FX2" s="304"/>
      <c r="FY2" s="304"/>
      <c r="FZ2" s="304"/>
      <c r="GA2" s="304"/>
      <c r="GB2" s="304"/>
      <c r="GC2" s="304"/>
      <c r="GD2" s="304"/>
      <c r="GE2" s="304"/>
      <c r="GF2" s="304"/>
      <c r="GG2" s="304"/>
      <c r="GH2" s="304"/>
      <c r="GI2" s="304"/>
      <c r="GJ2" s="304"/>
      <c r="GK2" s="304"/>
      <c r="GL2" s="304"/>
      <c r="GM2" s="304"/>
      <c r="GN2" s="304"/>
      <c r="GO2" s="304"/>
      <c r="GP2" s="304"/>
      <c r="GQ2" s="304"/>
      <c r="GR2" s="304"/>
      <c r="GS2" s="304"/>
      <c r="GT2" s="304"/>
      <c r="GU2" s="304"/>
      <c r="GV2" s="304"/>
      <c r="GW2" s="304"/>
      <c r="GX2" s="304"/>
      <c r="GY2" s="304"/>
      <c r="GZ2" s="304"/>
      <c r="HA2" s="304"/>
      <c r="HB2" s="304"/>
      <c r="HC2" s="304"/>
      <c r="HD2" s="304"/>
      <c r="HE2" s="304"/>
      <c r="HF2" s="304"/>
      <c r="HG2" s="304"/>
      <c r="HH2" s="304"/>
      <c r="HI2" s="304"/>
      <c r="HJ2" s="304"/>
      <c r="HK2" s="304"/>
      <c r="HL2" s="304"/>
      <c r="HM2" s="304"/>
      <c r="HN2" s="304"/>
      <c r="HO2" s="304"/>
      <c r="HP2" s="304"/>
      <c r="HQ2" s="304"/>
      <c r="HR2" s="304"/>
      <c r="HS2" s="304"/>
      <c r="HT2" s="304"/>
      <c r="HU2" s="304"/>
      <c r="HV2" s="304"/>
      <c r="HW2" s="304"/>
      <c r="HX2" s="304"/>
      <c r="HY2" s="304"/>
      <c r="HZ2" s="304"/>
      <c r="IA2" s="304"/>
      <c r="IB2" s="304"/>
      <c r="IC2" s="304"/>
      <c r="ID2" s="304"/>
      <c r="IE2" s="304"/>
      <c r="IF2" s="304"/>
      <c r="IG2" s="304"/>
      <c r="IH2" s="304"/>
      <c r="II2" s="304"/>
      <c r="IJ2" s="304"/>
      <c r="IK2" s="304"/>
      <c r="IL2" s="304"/>
      <c r="IM2" s="304"/>
      <c r="IN2" s="304"/>
      <c r="IO2" s="304"/>
      <c r="IP2" s="304"/>
      <c r="IQ2" s="304"/>
      <c r="IR2" s="304"/>
      <c r="IS2" s="304"/>
      <c r="IT2" s="304"/>
      <c r="IU2" s="304"/>
      <c r="IV2" s="304"/>
    </row>
    <row r="3" spans="1:256" ht="13.5" customHeight="1" thickBot="1">
      <c r="A3" s="154"/>
      <c r="B3" s="108"/>
      <c r="C3" s="1205"/>
      <c r="D3" s="108"/>
      <c r="E3" s="108"/>
      <c r="F3" s="1205"/>
      <c r="G3" s="108"/>
      <c r="H3" s="108"/>
      <c r="I3" s="1205"/>
      <c r="J3" s="108"/>
      <c r="K3" s="108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  <c r="EI3" s="304"/>
      <c r="EJ3" s="304"/>
      <c r="EK3" s="304"/>
      <c r="EL3" s="304"/>
      <c r="EM3" s="304"/>
      <c r="EN3" s="304"/>
      <c r="EO3" s="304"/>
      <c r="EP3" s="304"/>
      <c r="EQ3" s="304"/>
      <c r="ER3" s="304"/>
      <c r="ES3" s="304"/>
      <c r="ET3" s="304"/>
      <c r="EU3" s="304"/>
      <c r="EV3" s="304"/>
      <c r="EW3" s="304"/>
      <c r="EX3" s="304"/>
      <c r="EY3" s="304"/>
      <c r="EZ3" s="304"/>
      <c r="FA3" s="304"/>
      <c r="FB3" s="304"/>
      <c r="FC3" s="304"/>
      <c r="FD3" s="304"/>
      <c r="FE3" s="304"/>
      <c r="FF3" s="304"/>
      <c r="FG3" s="304"/>
      <c r="FH3" s="304"/>
      <c r="FI3" s="304"/>
      <c r="FJ3" s="304"/>
      <c r="FK3" s="304"/>
      <c r="FL3" s="304"/>
      <c r="FM3" s="304"/>
      <c r="FN3" s="304"/>
      <c r="FO3" s="304"/>
      <c r="FP3" s="304"/>
      <c r="FQ3" s="304"/>
      <c r="FR3" s="304"/>
      <c r="FS3" s="304"/>
      <c r="FT3" s="304"/>
      <c r="FU3" s="304"/>
      <c r="FV3" s="304"/>
      <c r="FW3" s="304"/>
      <c r="FX3" s="304"/>
      <c r="FY3" s="304"/>
      <c r="FZ3" s="304"/>
      <c r="GA3" s="304"/>
      <c r="GB3" s="304"/>
      <c r="GC3" s="304"/>
      <c r="GD3" s="304"/>
      <c r="GE3" s="304"/>
      <c r="GF3" s="304"/>
      <c r="GG3" s="304"/>
      <c r="GH3" s="304"/>
      <c r="GI3" s="304"/>
      <c r="GJ3" s="304"/>
      <c r="GK3" s="304"/>
      <c r="GL3" s="304"/>
      <c r="GM3" s="304"/>
      <c r="GN3" s="304"/>
      <c r="GO3" s="304"/>
      <c r="GP3" s="304"/>
      <c r="GQ3" s="304"/>
      <c r="GR3" s="304"/>
      <c r="GS3" s="304"/>
      <c r="GT3" s="304"/>
      <c r="GU3" s="304"/>
      <c r="GV3" s="304"/>
      <c r="GW3" s="304"/>
      <c r="GX3" s="304"/>
      <c r="GY3" s="304"/>
      <c r="GZ3" s="304"/>
      <c r="HA3" s="304"/>
      <c r="HB3" s="304"/>
      <c r="HC3" s="304"/>
      <c r="HD3" s="304"/>
      <c r="HE3" s="304"/>
      <c r="HF3" s="304"/>
      <c r="HG3" s="304"/>
      <c r="HH3" s="304"/>
      <c r="HI3" s="304"/>
      <c r="HJ3" s="304"/>
      <c r="HK3" s="304"/>
      <c r="HL3" s="304"/>
      <c r="HM3" s="304"/>
      <c r="HN3" s="304"/>
      <c r="HO3" s="304"/>
      <c r="HP3" s="304"/>
      <c r="HQ3" s="304"/>
      <c r="HR3" s="304"/>
      <c r="HS3" s="304"/>
      <c r="HT3" s="304"/>
      <c r="HU3" s="304"/>
      <c r="HV3" s="304"/>
      <c r="HW3" s="304"/>
      <c r="HX3" s="304"/>
      <c r="HY3" s="304"/>
      <c r="HZ3" s="304"/>
      <c r="IA3" s="304"/>
      <c r="IB3" s="304"/>
      <c r="IC3" s="304"/>
      <c r="ID3" s="304"/>
      <c r="IE3" s="304"/>
      <c r="IF3" s="304"/>
      <c r="IG3" s="304"/>
      <c r="IH3" s="304"/>
      <c r="II3" s="304"/>
      <c r="IJ3" s="304"/>
      <c r="IK3" s="304"/>
      <c r="IL3" s="304"/>
      <c r="IM3" s="304"/>
      <c r="IN3" s="304"/>
      <c r="IO3" s="304"/>
      <c r="IP3" s="304"/>
      <c r="IQ3" s="304"/>
      <c r="IR3" s="304"/>
      <c r="IS3" s="304"/>
      <c r="IT3" s="304"/>
      <c r="IU3" s="304"/>
      <c r="IV3" s="304"/>
    </row>
    <row r="4" spans="1:11" ht="19.5" customHeight="1" thickBot="1">
      <c r="A4" s="1206"/>
      <c r="B4" s="1097" t="s">
        <v>1486</v>
      </c>
      <c r="C4" s="1207"/>
      <c r="D4" s="1208"/>
      <c r="E4" s="1097" t="s">
        <v>1487</v>
      </c>
      <c r="F4" s="1207"/>
      <c r="G4" s="1208"/>
      <c r="H4" s="1097" t="s">
        <v>1488</v>
      </c>
      <c r="I4" s="1207"/>
      <c r="J4" s="1209"/>
      <c r="K4" s="1206"/>
    </row>
    <row r="5" spans="1:11" ht="19.5" customHeight="1">
      <c r="A5" s="1010" t="s">
        <v>566</v>
      </c>
      <c r="B5" s="1210" t="s">
        <v>658</v>
      </c>
      <c r="C5" s="1211" t="s">
        <v>568</v>
      </c>
      <c r="D5" s="1210" t="s">
        <v>569</v>
      </c>
      <c r="E5" s="1210" t="s">
        <v>658</v>
      </c>
      <c r="F5" s="1211" t="s">
        <v>568</v>
      </c>
      <c r="G5" s="1210" t="s">
        <v>569</v>
      </c>
      <c r="H5" s="1210" t="s">
        <v>658</v>
      </c>
      <c r="I5" s="1211" t="s">
        <v>568</v>
      </c>
      <c r="J5" s="1210" t="s">
        <v>569</v>
      </c>
      <c r="K5" s="1010" t="s">
        <v>570</v>
      </c>
    </row>
    <row r="6" spans="1:11" ht="19.5" customHeight="1">
      <c r="A6" s="1012" t="s">
        <v>571</v>
      </c>
      <c r="B6" s="1012" t="s">
        <v>659</v>
      </c>
      <c r="C6" s="1214" t="s">
        <v>573</v>
      </c>
      <c r="D6" s="1012" t="s">
        <v>574</v>
      </c>
      <c r="E6" s="1012" t="s">
        <v>659</v>
      </c>
      <c r="F6" s="1214" t="s">
        <v>573</v>
      </c>
      <c r="G6" s="1012" t="s">
        <v>574</v>
      </c>
      <c r="H6" s="1012" t="s">
        <v>659</v>
      </c>
      <c r="I6" s="1214" t="s">
        <v>573</v>
      </c>
      <c r="J6" s="1012" t="s">
        <v>574</v>
      </c>
      <c r="K6" s="1012" t="s">
        <v>575</v>
      </c>
    </row>
    <row r="7" spans="1:11" ht="19.5" customHeight="1" thickBot="1">
      <c r="A7" s="1014"/>
      <c r="B7" s="1012" t="s">
        <v>660</v>
      </c>
      <c r="C7" s="1213" t="s">
        <v>661</v>
      </c>
      <c r="D7" s="1212" t="s">
        <v>577</v>
      </c>
      <c r="E7" s="1012" t="s">
        <v>660</v>
      </c>
      <c r="F7" s="1213" t="s">
        <v>661</v>
      </c>
      <c r="G7" s="1212" t="s">
        <v>577</v>
      </c>
      <c r="H7" s="1012" t="s">
        <v>660</v>
      </c>
      <c r="I7" s="1213" t="s">
        <v>661</v>
      </c>
      <c r="J7" s="1212" t="s">
        <v>577</v>
      </c>
      <c r="K7" s="1014"/>
    </row>
    <row r="8" spans="1:256" s="158" customFormat="1" ht="19.5" customHeight="1" thickBot="1">
      <c r="A8" s="675" t="s">
        <v>578</v>
      </c>
      <c r="B8" s="633">
        <f>SUM(B9+B14+B21+B27+B31)</f>
        <v>22100</v>
      </c>
      <c r="C8" s="678">
        <f>(D8*1000)/B8</f>
        <v>20.67873303167421</v>
      </c>
      <c r="D8" s="991">
        <f>SUM(D9+D14+D21+D27+D31)</f>
        <v>457</v>
      </c>
      <c r="E8" s="633">
        <f>SUM(E9+E14+E21+E27+E31)</f>
        <v>13224</v>
      </c>
      <c r="F8" s="678">
        <f>(G8*1000)/E8</f>
        <v>41.10632183908046</v>
      </c>
      <c r="G8" s="1215">
        <f>SUM(G9+G14+G21+G27+G31)</f>
        <v>543.59</v>
      </c>
      <c r="H8" s="633">
        <f>SUM(H9+H14+H21+H27+H31)</f>
        <v>11526</v>
      </c>
      <c r="I8" s="678">
        <f>(J8*1000)/H8</f>
        <v>30.314072531667534</v>
      </c>
      <c r="J8" s="1216">
        <f>SUM(J9+J14+J21+J27+J31)</f>
        <v>349.4</v>
      </c>
      <c r="K8" s="967" t="s">
        <v>579</v>
      </c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  <c r="IT8" s="190"/>
      <c r="IU8" s="190"/>
      <c r="IV8" s="190"/>
    </row>
    <row r="9" spans="1:256" ht="18.75" customHeight="1">
      <c r="A9" s="646" t="s">
        <v>580</v>
      </c>
      <c r="B9" s="658">
        <f>SUM(B10:B12)</f>
        <v>3476</v>
      </c>
      <c r="C9" s="659">
        <f>(D9*1000)/B9</f>
        <v>16.426927502876868</v>
      </c>
      <c r="D9" s="998">
        <f>SUM(D10:D12)</f>
        <v>57.099999999999994</v>
      </c>
      <c r="E9" s="658">
        <f>SUM(E10:E12)</f>
        <v>194</v>
      </c>
      <c r="F9" s="659">
        <f>(G9*1000)/E9</f>
        <v>11.804123711340207</v>
      </c>
      <c r="G9" s="1217">
        <f>SUM(G10:G12)</f>
        <v>2.29</v>
      </c>
      <c r="H9" s="658">
        <f>SUM(H10:H12)</f>
        <v>1082</v>
      </c>
      <c r="I9" s="659">
        <f>(J9*1000)/H9</f>
        <v>19.77818853974122</v>
      </c>
      <c r="J9" s="1217">
        <f>SUM(J10:J12)</f>
        <v>21.4</v>
      </c>
      <c r="K9" s="649" t="s">
        <v>581</v>
      </c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E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</row>
    <row r="10" spans="1:11" ht="18.75" customHeight="1">
      <c r="A10" s="650" t="s">
        <v>582</v>
      </c>
      <c r="B10" s="651" t="s">
        <v>464</v>
      </c>
      <c r="C10" s="652" t="s">
        <v>464</v>
      </c>
      <c r="D10" s="993" t="s">
        <v>464</v>
      </c>
      <c r="E10" s="651" t="s">
        <v>464</v>
      </c>
      <c r="F10" s="652" t="s">
        <v>464</v>
      </c>
      <c r="G10" s="993" t="s">
        <v>464</v>
      </c>
      <c r="H10" s="651" t="s">
        <v>464</v>
      </c>
      <c r="I10" s="652" t="s">
        <v>464</v>
      </c>
      <c r="J10" s="993" t="s">
        <v>464</v>
      </c>
      <c r="K10" s="654" t="s">
        <v>583</v>
      </c>
    </row>
    <row r="11" spans="1:11" ht="18.75" customHeight="1">
      <c r="A11" s="650" t="s">
        <v>584</v>
      </c>
      <c r="B11" s="679">
        <v>1053</v>
      </c>
      <c r="C11" s="641">
        <f>(D11*1000)/B11</f>
        <v>19.65811965811966</v>
      </c>
      <c r="D11" s="994">
        <v>20.7</v>
      </c>
      <c r="E11" s="679">
        <v>98</v>
      </c>
      <c r="F11" s="641">
        <f>(G11*1000)/E11</f>
        <v>2.7551020408163267</v>
      </c>
      <c r="G11" s="1218">
        <v>0.27</v>
      </c>
      <c r="H11" s="679">
        <v>888</v>
      </c>
      <c r="I11" s="641">
        <f>(J11*1000)/H11</f>
        <v>21.846846846846848</v>
      </c>
      <c r="J11" s="1218">
        <v>19.4</v>
      </c>
      <c r="K11" s="654" t="s">
        <v>584</v>
      </c>
    </row>
    <row r="12" spans="1:11" ht="18.75" customHeight="1">
      <c r="A12" s="650" t="s">
        <v>585</v>
      </c>
      <c r="B12" s="679">
        <v>2423</v>
      </c>
      <c r="C12" s="641">
        <f>(D12*1000)/B12</f>
        <v>15.022699133305819</v>
      </c>
      <c r="D12" s="994">
        <v>36.4</v>
      </c>
      <c r="E12" s="679">
        <v>96</v>
      </c>
      <c r="F12" s="641">
        <f>(G12*1000)/E12</f>
        <v>21.041666666666668</v>
      </c>
      <c r="G12" s="1218">
        <v>2.02</v>
      </c>
      <c r="H12" s="679">
        <v>194</v>
      </c>
      <c r="I12" s="641">
        <f>(J12*1000)/H12</f>
        <v>10.309278350515465</v>
      </c>
      <c r="J12" s="680">
        <v>2</v>
      </c>
      <c r="K12" s="654" t="s">
        <v>585</v>
      </c>
    </row>
    <row r="13" spans="1:11" ht="18.75" customHeight="1">
      <c r="A13" s="650"/>
      <c r="B13" s="655"/>
      <c r="C13" s="641"/>
      <c r="D13" s="656"/>
      <c r="E13" s="655"/>
      <c r="F13" s="641"/>
      <c r="G13" s="656"/>
      <c r="H13" s="655"/>
      <c r="I13" s="641"/>
      <c r="J13" s="656"/>
      <c r="K13" s="654"/>
    </row>
    <row r="14" spans="1:11" ht="22.5" customHeight="1">
      <c r="A14" s="657" t="s">
        <v>588</v>
      </c>
      <c r="B14" s="658">
        <f>SUM(B15:B19)</f>
        <v>2879</v>
      </c>
      <c r="C14" s="659">
        <f>(D14*1000)/B14</f>
        <v>18.096561306009033</v>
      </c>
      <c r="D14" s="1219">
        <f>SUM(D15:D19)</f>
        <v>52.1</v>
      </c>
      <c r="E14" s="658">
        <f>SUM(E15:E19)</f>
        <v>590</v>
      </c>
      <c r="F14" s="659">
        <f>(G14*1000)/E14</f>
        <v>16.440677966101696</v>
      </c>
      <c r="G14" s="1219">
        <f>SUM(G15:G19)</f>
        <v>9.7</v>
      </c>
      <c r="H14" s="658">
        <f>SUM(H15:H19)</f>
        <v>675</v>
      </c>
      <c r="I14" s="659">
        <f>(J14*1000)/H14</f>
        <v>19.25925925925926</v>
      </c>
      <c r="J14" s="660">
        <f>SUM(J15:J19)</f>
        <v>13</v>
      </c>
      <c r="K14" s="661" t="s">
        <v>589</v>
      </c>
    </row>
    <row r="15" spans="1:11" ht="18.75" customHeight="1">
      <c r="A15" s="650" t="s">
        <v>590</v>
      </c>
      <c r="B15" s="655">
        <v>434</v>
      </c>
      <c r="C15" s="641">
        <f>(D15*1000)/B15</f>
        <v>29.953917050691246</v>
      </c>
      <c r="D15" s="656">
        <v>13</v>
      </c>
      <c r="E15" s="655">
        <v>270</v>
      </c>
      <c r="F15" s="641">
        <f>(G15*1000)/E15</f>
        <v>25.925925925925927</v>
      </c>
      <c r="G15" s="656">
        <v>7</v>
      </c>
      <c r="H15" s="655">
        <v>295</v>
      </c>
      <c r="I15" s="641">
        <f>(J15*1000)/H15</f>
        <v>16.949152542372882</v>
      </c>
      <c r="J15" s="656">
        <v>5</v>
      </c>
      <c r="K15" s="654" t="s">
        <v>591</v>
      </c>
    </row>
    <row r="16" spans="1:256" ht="18.75" customHeight="1">
      <c r="A16" s="650" t="s">
        <v>592</v>
      </c>
      <c r="B16" s="651" t="s">
        <v>464</v>
      </c>
      <c r="C16" s="652" t="s">
        <v>464</v>
      </c>
      <c r="D16" s="993" t="s">
        <v>464</v>
      </c>
      <c r="E16" s="651" t="s">
        <v>464</v>
      </c>
      <c r="F16" s="677" t="s">
        <v>464</v>
      </c>
      <c r="G16" s="993" t="s">
        <v>464</v>
      </c>
      <c r="H16" s="651" t="s">
        <v>464</v>
      </c>
      <c r="I16" s="652" t="s">
        <v>464</v>
      </c>
      <c r="J16" s="993" t="s">
        <v>464</v>
      </c>
      <c r="K16" s="654" t="s">
        <v>593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2"/>
      <c r="FF16" s="302"/>
      <c r="FG16" s="302"/>
      <c r="FH16" s="302"/>
      <c r="FI16" s="302"/>
      <c r="FJ16" s="302"/>
      <c r="FK16" s="302"/>
      <c r="FL16" s="302"/>
      <c r="FM16" s="302"/>
      <c r="FN16" s="302"/>
      <c r="FO16" s="302"/>
      <c r="FP16" s="302"/>
      <c r="FQ16" s="302"/>
      <c r="FR16" s="302"/>
      <c r="FS16" s="302"/>
      <c r="FT16" s="302"/>
      <c r="FU16" s="302"/>
      <c r="FV16" s="302"/>
      <c r="FW16" s="302"/>
      <c r="FX16" s="302"/>
      <c r="FY16" s="302"/>
      <c r="FZ16" s="302"/>
      <c r="GA16" s="302"/>
      <c r="GB16" s="302"/>
      <c r="GC16" s="302"/>
      <c r="GD16" s="302"/>
      <c r="GE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</row>
    <row r="17" spans="1:11" ht="18.75" customHeight="1">
      <c r="A17" s="650" t="s">
        <v>594</v>
      </c>
      <c r="B17" s="655">
        <v>525</v>
      </c>
      <c r="C17" s="641">
        <f>(D17*1000)/B17</f>
        <v>20.19047619047619</v>
      </c>
      <c r="D17" s="1220">
        <v>10.6</v>
      </c>
      <c r="E17" s="655">
        <v>120</v>
      </c>
      <c r="F17" s="641">
        <f>(G17*1000)/E17</f>
        <v>22.5</v>
      </c>
      <c r="G17" s="1220">
        <v>2.7</v>
      </c>
      <c r="H17" s="655">
        <v>380</v>
      </c>
      <c r="I17" s="641">
        <f>(J17*1000)/H17</f>
        <v>21.05263157894737</v>
      </c>
      <c r="J17" s="656">
        <v>8</v>
      </c>
      <c r="K17" s="654" t="s">
        <v>594</v>
      </c>
    </row>
    <row r="18" spans="1:11" ht="18.75" customHeight="1">
      <c r="A18" s="650" t="s">
        <v>599</v>
      </c>
      <c r="B18" s="679">
        <v>1650</v>
      </c>
      <c r="C18" s="641">
        <f>(D18*1000)/B18</f>
        <v>17.272727272727273</v>
      </c>
      <c r="D18" s="994">
        <v>28.5</v>
      </c>
      <c r="E18" s="679">
        <v>100</v>
      </c>
      <c r="F18" s="677" t="s">
        <v>464</v>
      </c>
      <c r="G18" s="993" t="s">
        <v>464</v>
      </c>
      <c r="H18" s="651" t="s">
        <v>464</v>
      </c>
      <c r="I18" s="652" t="s">
        <v>464</v>
      </c>
      <c r="J18" s="993" t="s">
        <v>464</v>
      </c>
      <c r="K18" s="654" t="s">
        <v>599</v>
      </c>
    </row>
    <row r="19" spans="1:11" ht="18.75" customHeight="1">
      <c r="A19" s="650" t="s">
        <v>598</v>
      </c>
      <c r="B19" s="679">
        <v>270</v>
      </c>
      <c r="C19" s="677" t="s">
        <v>464</v>
      </c>
      <c r="D19" s="994" t="s">
        <v>464</v>
      </c>
      <c r="E19" s="679">
        <v>100</v>
      </c>
      <c r="F19" s="652" t="s">
        <v>464</v>
      </c>
      <c r="G19" s="993" t="s">
        <v>464</v>
      </c>
      <c r="H19" s="651" t="s">
        <v>464</v>
      </c>
      <c r="I19" s="652" t="s">
        <v>464</v>
      </c>
      <c r="J19" s="993" t="s">
        <v>464</v>
      </c>
      <c r="K19" s="654" t="s">
        <v>598</v>
      </c>
    </row>
    <row r="20" spans="1:11" ht="18.75" customHeight="1">
      <c r="A20" s="662"/>
      <c r="B20" s="655"/>
      <c r="C20" s="664"/>
      <c r="D20" s="665"/>
      <c r="E20" s="655"/>
      <c r="F20" s="664"/>
      <c r="G20" s="665"/>
      <c r="H20" s="655"/>
      <c r="I20" s="664"/>
      <c r="J20" s="665"/>
      <c r="K20" s="654"/>
    </row>
    <row r="21" spans="1:11" ht="18.75" customHeight="1">
      <c r="A21" s="657" t="s">
        <v>601</v>
      </c>
      <c r="B21" s="658">
        <f>SUM(B22:B25)</f>
        <v>8770</v>
      </c>
      <c r="C21" s="659">
        <f>(D21*1000)/B21</f>
        <v>13.888255416191562</v>
      </c>
      <c r="D21" s="1219">
        <f>SUM(D22:D25)</f>
        <v>121.8</v>
      </c>
      <c r="E21" s="658">
        <f>SUM(E22:E25)</f>
        <v>1185</v>
      </c>
      <c r="F21" s="659">
        <f>(G21*1000)/E21</f>
        <v>33.670886075949376</v>
      </c>
      <c r="G21" s="1219">
        <f>SUM(G22:G25)</f>
        <v>39.900000000000006</v>
      </c>
      <c r="H21" s="658">
        <f>SUM(H22:H25)</f>
        <v>1844</v>
      </c>
      <c r="I21" s="659">
        <f>(J21*1000)/H21</f>
        <v>17.89587852494577</v>
      </c>
      <c r="J21" s="1219">
        <f>SUM(J22:J25)</f>
        <v>33</v>
      </c>
      <c r="K21" s="661" t="s">
        <v>602</v>
      </c>
    </row>
    <row r="22" spans="1:11" ht="18.75" customHeight="1">
      <c r="A22" s="650" t="s">
        <v>603</v>
      </c>
      <c r="B22" s="984">
        <v>8085</v>
      </c>
      <c r="C22" s="641">
        <f>(D22*1000)/B22</f>
        <v>13.605442176870747</v>
      </c>
      <c r="D22" s="1220">
        <v>110</v>
      </c>
      <c r="E22" s="984">
        <v>625</v>
      </c>
      <c r="F22" s="641">
        <f>(G22*1000)/E22</f>
        <v>44.8</v>
      </c>
      <c r="G22" s="656">
        <v>28</v>
      </c>
      <c r="H22" s="651" t="s">
        <v>464</v>
      </c>
      <c r="I22" s="652" t="s">
        <v>464</v>
      </c>
      <c r="J22" s="993" t="s">
        <v>464</v>
      </c>
      <c r="K22" s="654" t="s">
        <v>604</v>
      </c>
    </row>
    <row r="23" spans="1:11" ht="18.75" customHeight="1">
      <c r="A23" s="650" t="s">
        <v>605</v>
      </c>
      <c r="B23" s="655">
        <v>315</v>
      </c>
      <c r="C23" s="641">
        <f>(D23*1000)/B23</f>
        <v>20</v>
      </c>
      <c r="D23" s="1220">
        <v>6.3</v>
      </c>
      <c r="E23" s="655">
        <v>510</v>
      </c>
      <c r="F23" s="641">
        <f>(G23*1000)/E23</f>
        <v>20</v>
      </c>
      <c r="G23" s="1220">
        <v>10.2</v>
      </c>
      <c r="H23" s="655">
        <v>1824</v>
      </c>
      <c r="I23" s="641">
        <f>(J23*1000)/H23</f>
        <v>17.81798245614035</v>
      </c>
      <c r="J23" s="1220">
        <v>32.5</v>
      </c>
      <c r="K23" s="654" t="s">
        <v>606</v>
      </c>
    </row>
    <row r="24" spans="1:11" ht="18.75" customHeight="1">
      <c r="A24" s="650" t="s">
        <v>607</v>
      </c>
      <c r="B24" s="651" t="s">
        <v>464</v>
      </c>
      <c r="C24" s="652" t="s">
        <v>464</v>
      </c>
      <c r="D24" s="993" t="s">
        <v>464</v>
      </c>
      <c r="E24" s="651" t="s">
        <v>464</v>
      </c>
      <c r="F24" s="652" t="s">
        <v>464</v>
      </c>
      <c r="G24" s="993" t="s">
        <v>464</v>
      </c>
      <c r="H24" s="651" t="s">
        <v>464</v>
      </c>
      <c r="I24" s="652" t="s">
        <v>464</v>
      </c>
      <c r="J24" s="993" t="s">
        <v>464</v>
      </c>
      <c r="K24" s="654" t="s">
        <v>607</v>
      </c>
    </row>
    <row r="25" spans="1:11" ht="18.75" customHeight="1">
      <c r="A25" s="650" t="s">
        <v>608</v>
      </c>
      <c r="B25" s="655">
        <v>370</v>
      </c>
      <c r="C25" s="641">
        <f>(D25*1000)/B25</f>
        <v>14.864864864864865</v>
      </c>
      <c r="D25" s="1220">
        <v>5.5</v>
      </c>
      <c r="E25" s="655">
        <v>50</v>
      </c>
      <c r="F25" s="641">
        <f>(G25*1000)/E25</f>
        <v>34</v>
      </c>
      <c r="G25" s="1220">
        <v>1.7</v>
      </c>
      <c r="H25" s="655">
        <v>20</v>
      </c>
      <c r="I25" s="641">
        <f>(J25*1000)/H25</f>
        <v>25</v>
      </c>
      <c r="J25" s="1220">
        <v>0.5</v>
      </c>
      <c r="K25" s="654" t="s">
        <v>608</v>
      </c>
    </row>
    <row r="26" spans="1:256" ht="18.75" customHeight="1">
      <c r="A26" s="666"/>
      <c r="B26" s="658"/>
      <c r="C26" s="668"/>
      <c r="D26" s="669"/>
      <c r="E26" s="658"/>
      <c r="F26" s="668"/>
      <c r="G26" s="669"/>
      <c r="H26" s="658"/>
      <c r="I26" s="668"/>
      <c r="J26" s="669"/>
      <c r="K26" s="670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2"/>
      <c r="CT26" s="302"/>
      <c r="CU26" s="302"/>
      <c r="CV26" s="302"/>
      <c r="CW26" s="302"/>
      <c r="CX26" s="302"/>
      <c r="CY26" s="302"/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2"/>
      <c r="DL26" s="302"/>
      <c r="DM26" s="302"/>
      <c r="DN26" s="302"/>
      <c r="DO26" s="302"/>
      <c r="DP26" s="302"/>
      <c r="DQ26" s="302"/>
      <c r="DR26" s="302"/>
      <c r="DS26" s="302"/>
      <c r="DT26" s="302"/>
      <c r="DU26" s="302"/>
      <c r="DV26" s="302"/>
      <c r="DW26" s="302"/>
      <c r="DX26" s="302"/>
      <c r="DY26" s="302"/>
      <c r="DZ26" s="302"/>
      <c r="EA26" s="302"/>
      <c r="EB26" s="302"/>
      <c r="EC26" s="302"/>
      <c r="ED26" s="302"/>
      <c r="EE26" s="302"/>
      <c r="EF26" s="302"/>
      <c r="EG26" s="302"/>
      <c r="EH26" s="302"/>
      <c r="EI26" s="302"/>
      <c r="EJ26" s="302"/>
      <c r="EK26" s="302"/>
      <c r="EL26" s="302"/>
      <c r="EM26" s="302"/>
      <c r="EN26" s="302"/>
      <c r="EO26" s="302"/>
      <c r="EP26" s="302"/>
      <c r="EQ26" s="302"/>
      <c r="ER26" s="302"/>
      <c r="ES26" s="302"/>
      <c r="ET26" s="302"/>
      <c r="EU26" s="302"/>
      <c r="EV26" s="302"/>
      <c r="EW26" s="302"/>
      <c r="EX26" s="302"/>
      <c r="EY26" s="302"/>
      <c r="EZ26" s="302"/>
      <c r="FA26" s="302"/>
      <c r="FB26" s="302"/>
      <c r="FC26" s="302"/>
      <c r="FD26" s="302"/>
      <c r="FE26" s="302"/>
      <c r="FF26" s="302"/>
      <c r="FG26" s="302"/>
      <c r="FH26" s="302"/>
      <c r="FI26" s="302"/>
      <c r="FJ26" s="302"/>
      <c r="FK26" s="302"/>
      <c r="FL26" s="302"/>
      <c r="FM26" s="302"/>
      <c r="FN26" s="302"/>
      <c r="FO26" s="302"/>
      <c r="FP26" s="302"/>
      <c r="FQ26" s="302"/>
      <c r="FR26" s="302"/>
      <c r="FS26" s="302"/>
      <c r="FT26" s="302"/>
      <c r="FU26" s="302"/>
      <c r="FV26" s="302"/>
      <c r="FW26" s="302"/>
      <c r="FX26" s="302"/>
      <c r="FY26" s="302"/>
      <c r="FZ26" s="302"/>
      <c r="GA26" s="302"/>
      <c r="GB26" s="302"/>
      <c r="GC26" s="302"/>
      <c r="GD26" s="302"/>
      <c r="GE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</row>
    <row r="27" spans="1:11" ht="18.75" customHeight="1">
      <c r="A27" s="666" t="s">
        <v>1286</v>
      </c>
      <c r="B27" s="658">
        <f>SUM(B28:B29)</f>
        <v>4070</v>
      </c>
      <c r="C27" s="659">
        <f>(D27*1000)/B27</f>
        <v>42.26044226044226</v>
      </c>
      <c r="D27" s="669">
        <f>SUM(D28:D29)</f>
        <v>172</v>
      </c>
      <c r="E27" s="658">
        <f>SUM(E28:E29)</f>
        <v>10920</v>
      </c>
      <c r="F27" s="659">
        <f>(G27*1000)/E27</f>
        <v>44.36813186813187</v>
      </c>
      <c r="G27" s="669">
        <f>SUM(G28:G29)</f>
        <v>484.5</v>
      </c>
      <c r="H27" s="658">
        <f>SUM(H28:H29)</f>
        <v>6735</v>
      </c>
      <c r="I27" s="659">
        <f>(J27*1000)/H27</f>
        <v>38.23311061618411</v>
      </c>
      <c r="J27" s="669">
        <f>SUM(J28:J29)</f>
        <v>257.5</v>
      </c>
      <c r="K27" s="661" t="s">
        <v>1286</v>
      </c>
    </row>
    <row r="28" spans="1:11" ht="18.75" customHeight="1">
      <c r="A28" s="662" t="s">
        <v>586</v>
      </c>
      <c r="B28" s="655">
        <v>1465</v>
      </c>
      <c r="C28" s="641">
        <f>(D28*1000)/B28</f>
        <v>25.59726962457338</v>
      </c>
      <c r="D28" s="665">
        <v>37.5</v>
      </c>
      <c r="E28" s="655">
        <v>4770</v>
      </c>
      <c r="F28" s="641">
        <f>(G28*1000)/E28</f>
        <v>17.50524109014675</v>
      </c>
      <c r="G28" s="665">
        <v>83.5</v>
      </c>
      <c r="H28" s="655">
        <v>2205</v>
      </c>
      <c r="I28" s="641">
        <f>(J28*1000)/H28</f>
        <v>14.512471655328799</v>
      </c>
      <c r="J28" s="665">
        <v>32</v>
      </c>
      <c r="K28" s="654" t="s">
        <v>586</v>
      </c>
    </row>
    <row r="29" spans="1:11" ht="18.75" customHeight="1">
      <c r="A29" s="662" t="s">
        <v>587</v>
      </c>
      <c r="B29" s="655">
        <v>2605</v>
      </c>
      <c r="C29" s="641">
        <f>(D29*1000)/B29</f>
        <v>51.63147792706334</v>
      </c>
      <c r="D29" s="665">
        <v>134.5</v>
      </c>
      <c r="E29" s="655">
        <v>6150</v>
      </c>
      <c r="F29" s="641">
        <f>(G29*1000)/E29</f>
        <v>65.20325203252033</v>
      </c>
      <c r="G29" s="665">
        <v>401</v>
      </c>
      <c r="H29" s="655">
        <v>4530</v>
      </c>
      <c r="I29" s="641">
        <f>(J29*1000)/H29</f>
        <v>49.77924944812362</v>
      </c>
      <c r="J29" s="665">
        <v>225.5</v>
      </c>
      <c r="K29" s="654" t="s">
        <v>587</v>
      </c>
    </row>
    <row r="30" spans="1:11" ht="18.75" customHeight="1">
      <c r="A30" s="662"/>
      <c r="B30" s="655"/>
      <c r="C30" s="664"/>
      <c r="D30" s="665"/>
      <c r="E30" s="655"/>
      <c r="F30" s="664"/>
      <c r="G30" s="665"/>
      <c r="H30" s="655"/>
      <c r="I30" s="664"/>
      <c r="J30" s="665"/>
      <c r="K30" s="654"/>
    </row>
    <row r="31" spans="1:11" ht="18.75" customHeight="1">
      <c r="A31" s="666" t="s">
        <v>1287</v>
      </c>
      <c r="B31" s="658">
        <f>SUM(B32:B34)</f>
        <v>2905</v>
      </c>
      <c r="C31" s="659">
        <f>(D31*1000)/B31</f>
        <v>18.588640275387263</v>
      </c>
      <c r="D31" s="669">
        <f>SUM(D32:D34)</f>
        <v>54</v>
      </c>
      <c r="E31" s="658">
        <f>SUM(E32:E34)</f>
        <v>335</v>
      </c>
      <c r="F31" s="659">
        <f>(G31*1000)/E31</f>
        <v>21.492537313432837</v>
      </c>
      <c r="G31" s="669">
        <f>SUM(G32:G34)</f>
        <v>7.2</v>
      </c>
      <c r="H31" s="658">
        <f>SUM(H32:H34)</f>
        <v>1190</v>
      </c>
      <c r="I31" s="659">
        <f>(J31*1000)/H31</f>
        <v>20.58823529411765</v>
      </c>
      <c r="J31" s="669">
        <f>SUM(J32:J34)</f>
        <v>24.5</v>
      </c>
      <c r="K31" s="661" t="s">
        <v>1287</v>
      </c>
    </row>
    <row r="32" spans="1:11" ht="18.75" customHeight="1">
      <c r="A32" s="662" t="s">
        <v>1273</v>
      </c>
      <c r="B32" s="655">
        <v>1600</v>
      </c>
      <c r="C32" s="641">
        <f>(D32*1000)/B32</f>
        <v>12.5</v>
      </c>
      <c r="D32" s="665">
        <v>20</v>
      </c>
      <c r="E32" s="655">
        <v>100</v>
      </c>
      <c r="F32" s="677" t="s">
        <v>464</v>
      </c>
      <c r="G32" s="1104" t="s">
        <v>464</v>
      </c>
      <c r="H32" s="655">
        <v>100</v>
      </c>
      <c r="I32" s="652" t="s">
        <v>464</v>
      </c>
      <c r="J32" s="993" t="s">
        <v>464</v>
      </c>
      <c r="K32" s="654" t="s">
        <v>1273</v>
      </c>
    </row>
    <row r="33" spans="1:11" ht="18.75" customHeight="1">
      <c r="A33" s="662" t="s">
        <v>596</v>
      </c>
      <c r="B33" s="655">
        <v>570</v>
      </c>
      <c r="C33" s="641">
        <f>(D33*1000)/B33</f>
        <v>17.54385964912281</v>
      </c>
      <c r="D33" s="665">
        <v>10</v>
      </c>
      <c r="E33" s="655">
        <v>40</v>
      </c>
      <c r="F33" s="641">
        <f>(G33*1000)/E33</f>
        <v>25</v>
      </c>
      <c r="G33" s="665">
        <v>1</v>
      </c>
      <c r="H33" s="655">
        <v>175</v>
      </c>
      <c r="I33" s="641">
        <f>(J33*1000)/H33</f>
        <v>20</v>
      </c>
      <c r="J33" s="665">
        <v>3.5</v>
      </c>
      <c r="K33" s="654" t="s">
        <v>596</v>
      </c>
    </row>
    <row r="34" spans="1:11" ht="18.75" customHeight="1" thickBot="1">
      <c r="A34" s="671" t="s">
        <v>595</v>
      </c>
      <c r="B34" s="672">
        <v>735</v>
      </c>
      <c r="C34" s="344">
        <f>(D34*1000)/B34</f>
        <v>32.6530612244898</v>
      </c>
      <c r="D34" s="673">
        <v>24</v>
      </c>
      <c r="E34" s="672">
        <v>195</v>
      </c>
      <c r="F34" s="344">
        <f>(G34*1000)/E34</f>
        <v>31.794871794871796</v>
      </c>
      <c r="G34" s="1221">
        <v>6.2</v>
      </c>
      <c r="H34" s="672">
        <v>915</v>
      </c>
      <c r="I34" s="344">
        <f>(J34*1000)/H34</f>
        <v>22.950819672131146</v>
      </c>
      <c r="J34" s="673">
        <v>21</v>
      </c>
      <c r="K34" s="674" t="s">
        <v>595</v>
      </c>
    </row>
    <row r="35" spans="1:11" ht="13.5" customHeight="1" hidden="1">
      <c r="A35" s="108"/>
      <c r="B35" s="108"/>
      <c r="C35" s="1205"/>
      <c r="D35" s="108"/>
      <c r="E35" s="108"/>
      <c r="F35" s="1205"/>
      <c r="G35" s="108"/>
      <c r="H35" s="108"/>
      <c r="I35" s="1205"/>
      <c r="J35" s="108"/>
      <c r="K35" s="108"/>
    </row>
    <row r="36" spans="1:11" ht="13.5" customHeight="1" hidden="1">
      <c r="A36" s="108"/>
      <c r="B36" s="108"/>
      <c r="C36" s="1205"/>
      <c r="D36" s="108"/>
      <c r="E36" s="108"/>
      <c r="F36" s="1205"/>
      <c r="G36" s="108"/>
      <c r="H36" s="108"/>
      <c r="I36" s="1205"/>
      <c r="J36" s="108"/>
      <c r="K36" s="108"/>
    </row>
    <row r="37" spans="1:11" ht="13.5" customHeight="1">
      <c r="A37" s="108"/>
      <c r="B37" s="108"/>
      <c r="C37" s="1205"/>
      <c r="D37" s="108"/>
      <c r="E37" s="108"/>
      <c r="F37" s="1205"/>
      <c r="G37" s="108"/>
      <c r="H37" s="108"/>
      <c r="I37" s="1205"/>
      <c r="J37" s="108"/>
      <c r="K37" s="108"/>
    </row>
    <row r="38" spans="1:11" ht="20.25">
      <c r="A38" s="108"/>
      <c r="B38" s="108"/>
      <c r="C38" s="1205"/>
      <c r="D38" s="108"/>
      <c r="E38" s="108"/>
      <c r="F38" s="1205"/>
      <c r="G38" s="108"/>
      <c r="H38" s="108"/>
      <c r="I38" s="1205"/>
      <c r="J38" s="108"/>
      <c r="K38" s="108"/>
    </row>
    <row r="39" spans="1:11" s="158" customFormat="1" ht="20.25">
      <c r="A39" s="154" t="s">
        <v>668</v>
      </c>
      <c r="B39" s="108"/>
      <c r="C39" s="1205"/>
      <c r="D39" s="108"/>
      <c r="E39" s="108"/>
      <c r="F39" s="1205"/>
      <c r="G39" s="108"/>
      <c r="H39" s="108"/>
      <c r="I39" s="1205"/>
      <c r="J39" s="108"/>
      <c r="K39" s="108"/>
    </row>
    <row r="40" spans="1:11" ht="13.5" customHeight="1">
      <c r="A40" s="154"/>
      <c r="B40" s="108"/>
      <c r="C40" s="1205"/>
      <c r="D40" s="108"/>
      <c r="E40" s="108"/>
      <c r="F40" s="1205"/>
      <c r="G40" s="108"/>
      <c r="H40" s="108"/>
      <c r="I40" s="1205"/>
      <c r="J40" s="108"/>
      <c r="K40" s="108"/>
    </row>
    <row r="41" spans="1:11" ht="13.5" customHeight="1" thickBot="1">
      <c r="A41" s="154"/>
      <c r="B41" s="108"/>
      <c r="C41" s="1205"/>
      <c r="D41" s="108"/>
      <c r="E41" s="108"/>
      <c r="F41" s="1205"/>
      <c r="G41" s="108"/>
      <c r="H41" s="108"/>
      <c r="I41" s="1205"/>
      <c r="J41" s="108"/>
      <c r="K41" s="108"/>
    </row>
    <row r="42" spans="1:11" ht="21" customHeight="1" thickBot="1">
      <c r="A42" s="1206"/>
      <c r="B42" s="1097" t="s">
        <v>1485</v>
      </c>
      <c r="C42" s="1207"/>
      <c r="D42" s="1208"/>
      <c r="E42" s="1097" t="s">
        <v>1484</v>
      </c>
      <c r="F42" s="1207"/>
      <c r="G42" s="1208"/>
      <c r="H42" s="1097" t="s">
        <v>1483</v>
      </c>
      <c r="I42" s="1207"/>
      <c r="J42" s="1222"/>
      <c r="K42" s="1206"/>
    </row>
    <row r="43" spans="1:11" ht="21" customHeight="1">
      <c r="A43" s="1010" t="s">
        <v>566</v>
      </c>
      <c r="B43" s="1212" t="s">
        <v>658</v>
      </c>
      <c r="C43" s="1213" t="s">
        <v>568</v>
      </c>
      <c r="D43" s="1210" t="s">
        <v>569</v>
      </c>
      <c r="E43" s="1212" t="s">
        <v>658</v>
      </c>
      <c r="F43" s="1213" t="s">
        <v>568</v>
      </c>
      <c r="G43" s="1223" t="s">
        <v>569</v>
      </c>
      <c r="H43" s="1210" t="s">
        <v>658</v>
      </c>
      <c r="I43" s="1211" t="s">
        <v>568</v>
      </c>
      <c r="J43" s="1210" t="s">
        <v>569</v>
      </c>
      <c r="K43" s="1010" t="s">
        <v>570</v>
      </c>
    </row>
    <row r="44" spans="1:11" ht="21" customHeight="1">
      <c r="A44" s="1012" t="s">
        <v>571</v>
      </c>
      <c r="B44" s="1012" t="s">
        <v>659</v>
      </c>
      <c r="C44" s="1214" t="s">
        <v>573</v>
      </c>
      <c r="D44" s="1012" t="s">
        <v>574</v>
      </c>
      <c r="E44" s="1012" t="s">
        <v>659</v>
      </c>
      <c r="F44" s="1214" t="s">
        <v>573</v>
      </c>
      <c r="G44" s="1224" t="s">
        <v>574</v>
      </c>
      <c r="H44" s="1012" t="s">
        <v>659</v>
      </c>
      <c r="I44" s="1214" t="s">
        <v>573</v>
      </c>
      <c r="J44" s="1012" t="s">
        <v>574</v>
      </c>
      <c r="K44" s="1012" t="s">
        <v>575</v>
      </c>
    </row>
    <row r="45" spans="1:11" ht="21" customHeight="1" thickBot="1">
      <c r="A45" s="1014"/>
      <c r="B45" s="1012" t="s">
        <v>660</v>
      </c>
      <c r="C45" s="1213" t="s">
        <v>666</v>
      </c>
      <c r="D45" s="1212" t="s">
        <v>577</v>
      </c>
      <c r="E45" s="1012" t="s">
        <v>660</v>
      </c>
      <c r="F45" s="1213" t="s">
        <v>666</v>
      </c>
      <c r="G45" s="1223" t="s">
        <v>577</v>
      </c>
      <c r="H45" s="1012" t="s">
        <v>660</v>
      </c>
      <c r="I45" s="1213" t="s">
        <v>666</v>
      </c>
      <c r="J45" s="1212" t="s">
        <v>577</v>
      </c>
      <c r="K45" s="1014"/>
    </row>
    <row r="46" spans="1:256" ht="19.5" customHeight="1" thickBot="1">
      <c r="A46" s="675" t="s">
        <v>578</v>
      </c>
      <c r="B46" s="1016">
        <f>SUM(B47+B52+B59+B65+B69)</f>
        <v>49652</v>
      </c>
      <c r="C46" s="1017">
        <f>(D46*1000)/B46</f>
        <v>18.750503504390558</v>
      </c>
      <c r="D46">
        <f>SUM(D47+D52+D59+D65+D69)</f>
        <v>931</v>
      </c>
      <c r="E46" s="633">
        <f>SUM(E47+E52+E59+E65+E69)</f>
        <v>15183</v>
      </c>
      <c r="F46" s="1225">
        <f>(G46*1000)/E46</f>
        <v>24.36936046894553</v>
      </c>
      <c r="G46" s="2213">
        <f>SUM(G47+G52+G59+G65+G69)</f>
        <v>370</v>
      </c>
      <c r="H46" s="633">
        <f>SUM(H59+H65)</f>
        <v>1352</v>
      </c>
      <c r="I46" s="1876">
        <f>(J46*1000)/H46</f>
        <v>15.532544378698224</v>
      </c>
      <c r="J46" s="2442">
        <f>SUM(J59+J65)</f>
        <v>21</v>
      </c>
      <c r="K46" s="967" t="s">
        <v>579</v>
      </c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302"/>
      <c r="DD46" s="302"/>
      <c r="DE46" s="302"/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302"/>
      <c r="DR46" s="302"/>
      <c r="DS46" s="302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2"/>
      <c r="ER46" s="302"/>
      <c r="ES46" s="302"/>
      <c r="ET46" s="302"/>
      <c r="EU46" s="302"/>
      <c r="EV46" s="302"/>
      <c r="EW46" s="302"/>
      <c r="EX46" s="302"/>
      <c r="EY46" s="302"/>
      <c r="EZ46" s="302"/>
      <c r="FA46" s="302"/>
      <c r="FB46" s="302"/>
      <c r="FC46" s="302"/>
      <c r="FD46" s="302"/>
      <c r="FE46" s="302"/>
      <c r="FF46" s="302"/>
      <c r="FG46" s="302"/>
      <c r="FH46" s="302"/>
      <c r="FI46" s="302"/>
      <c r="FJ46" s="302"/>
      <c r="FK46" s="302"/>
      <c r="FL46" s="302"/>
      <c r="FM46" s="302"/>
      <c r="FN46" s="302"/>
      <c r="FO46" s="302"/>
      <c r="FP46" s="302"/>
      <c r="FQ46" s="302"/>
      <c r="FR46" s="302"/>
      <c r="FS46" s="302"/>
      <c r="FT46" s="302"/>
      <c r="FU46" s="302"/>
      <c r="FV46" s="302"/>
      <c r="FW46" s="302"/>
      <c r="FX46" s="302"/>
      <c r="FY46" s="302"/>
      <c r="FZ46" s="302"/>
      <c r="GA46" s="302"/>
      <c r="GB46" s="302"/>
      <c r="GC46" s="302"/>
      <c r="GD46" s="302"/>
      <c r="GE46" s="302"/>
      <c r="GF46" s="302"/>
      <c r="GG46" s="302"/>
      <c r="GH46" s="302"/>
      <c r="GI46" s="302"/>
      <c r="GJ46" s="302"/>
      <c r="GK46" s="302"/>
      <c r="GL46" s="302"/>
      <c r="GM46" s="302"/>
      <c r="GN46" s="302"/>
      <c r="GO46" s="302"/>
      <c r="GP46" s="302"/>
      <c r="GQ46" s="302"/>
      <c r="GR46" s="302"/>
      <c r="GS46" s="302"/>
      <c r="GT46" s="302"/>
      <c r="GU46" s="302"/>
      <c r="GV46" s="302"/>
      <c r="GW46" s="302"/>
      <c r="GX46" s="302"/>
      <c r="GY46" s="302"/>
      <c r="GZ46" s="302"/>
      <c r="HA46" s="302"/>
      <c r="HB46" s="302"/>
      <c r="HC46" s="302"/>
      <c r="HD46" s="302"/>
      <c r="HE46" s="302"/>
      <c r="HF46" s="302"/>
      <c r="HG46" s="302"/>
      <c r="HH46" s="302"/>
      <c r="HI46" s="302"/>
      <c r="HJ46" s="302"/>
      <c r="HK46" s="302"/>
      <c r="HL46" s="302"/>
      <c r="HM46" s="302"/>
      <c r="HN46" s="302"/>
      <c r="HO46" s="302"/>
      <c r="HP46" s="302"/>
      <c r="HQ46" s="302"/>
      <c r="HR46" s="302"/>
      <c r="HS46" s="302"/>
      <c r="HT46" s="302"/>
      <c r="HU46" s="302"/>
      <c r="HV46" s="302"/>
      <c r="HW46" s="302"/>
      <c r="HX46" s="302"/>
      <c r="HY46" s="302"/>
      <c r="HZ46" s="302"/>
      <c r="IA46" s="302"/>
      <c r="IB46" s="302"/>
      <c r="IC46" s="302"/>
      <c r="ID46" s="302"/>
      <c r="IE46" s="302"/>
      <c r="IF46" s="302"/>
      <c r="IG46" s="302"/>
      <c r="IH46" s="302"/>
      <c r="II46" s="302"/>
      <c r="IJ46" s="302"/>
      <c r="IK46" s="302"/>
      <c r="IL46" s="302"/>
      <c r="IM46" s="302"/>
      <c r="IN46" s="302"/>
      <c r="IO46" s="302"/>
      <c r="IP46" s="302"/>
      <c r="IQ46" s="302"/>
      <c r="IR46" s="302"/>
      <c r="IS46" s="302"/>
      <c r="IT46" s="302"/>
      <c r="IU46" s="302"/>
      <c r="IV46" s="302"/>
    </row>
    <row r="47" spans="1:256" ht="18.75" customHeight="1">
      <c r="A47" s="646" t="s">
        <v>580</v>
      </c>
      <c r="B47" s="1226">
        <f>SUM(B48:B50)</f>
        <v>1100</v>
      </c>
      <c r="C47" s="966">
        <f>(D47*1000)/B47</f>
        <v>14.454545454545453</v>
      </c>
      <c r="D47">
        <f>SUM(D48:D50)</f>
        <v>15.899999999999999</v>
      </c>
      <c r="E47" s="647">
        <f>SUM(E48:E50)</f>
        <v>2785</v>
      </c>
      <c r="F47" s="1227">
        <f>(G47*1000)/E47</f>
        <v>21.18491921005386</v>
      </c>
      <c r="G47" s="1871">
        <f>SUM(G48:G50)</f>
        <v>59</v>
      </c>
      <c r="H47" s="682" t="s">
        <v>464</v>
      </c>
      <c r="I47" s="683" t="s">
        <v>464</v>
      </c>
      <c r="J47" s="2443" t="s">
        <v>464</v>
      </c>
      <c r="K47" s="649" t="s">
        <v>581</v>
      </c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  <c r="FC47" s="302"/>
      <c r="FD47" s="302"/>
      <c r="FE47" s="302"/>
      <c r="FF47" s="302"/>
      <c r="FG47" s="302"/>
      <c r="FH47" s="302"/>
      <c r="FI47" s="302"/>
      <c r="FJ47" s="302"/>
      <c r="FK47" s="302"/>
      <c r="FL47" s="302"/>
      <c r="FM47" s="302"/>
      <c r="FN47" s="302"/>
      <c r="FO47" s="302"/>
      <c r="FP47" s="302"/>
      <c r="FQ47" s="302"/>
      <c r="FR47" s="302"/>
      <c r="FS47" s="30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E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</row>
    <row r="48" spans="1:11" ht="18.75" customHeight="1">
      <c r="A48" s="650" t="s">
        <v>582</v>
      </c>
      <c r="B48" s="1036" t="s">
        <v>464</v>
      </c>
      <c r="C48" s="1037" t="s">
        <v>464</v>
      </c>
      <c r="D48" t="s">
        <v>464</v>
      </c>
      <c r="E48" s="679">
        <v>685</v>
      </c>
      <c r="F48" s="642">
        <f>(G48*1000)/E48</f>
        <v>27.73722627737226</v>
      </c>
      <c r="G48" s="1846">
        <v>19</v>
      </c>
      <c r="H48" s="651" t="s">
        <v>464</v>
      </c>
      <c r="I48" s="652" t="s">
        <v>464</v>
      </c>
      <c r="J48" s="1047" t="s">
        <v>464</v>
      </c>
      <c r="K48" s="654" t="s">
        <v>583</v>
      </c>
    </row>
    <row r="49" spans="1:11" ht="18.75" customHeight="1">
      <c r="A49" s="650" t="s">
        <v>584</v>
      </c>
      <c r="B49" s="723">
        <v>650</v>
      </c>
      <c r="C49" s="976">
        <f>(D49*1000)/B49</f>
        <v>14.76923076923077</v>
      </c>
      <c r="D49">
        <v>9.6</v>
      </c>
      <c r="E49" s="679">
        <v>1290</v>
      </c>
      <c r="F49" s="642">
        <f>(G49*1000)/E49</f>
        <v>19.37984496124031</v>
      </c>
      <c r="G49" s="1846">
        <v>25</v>
      </c>
      <c r="H49" s="651" t="s">
        <v>464</v>
      </c>
      <c r="I49" s="652" t="s">
        <v>464</v>
      </c>
      <c r="J49" s="1047" t="s">
        <v>464</v>
      </c>
      <c r="K49" s="654" t="s">
        <v>584</v>
      </c>
    </row>
    <row r="50" spans="1:11" ht="18.75" customHeight="1">
      <c r="A50" s="650" t="s">
        <v>585</v>
      </c>
      <c r="B50" s="723">
        <v>450</v>
      </c>
      <c r="C50" s="976">
        <f>(D50*1000)/B50</f>
        <v>14</v>
      </c>
      <c r="D50">
        <v>6.3</v>
      </c>
      <c r="E50" s="679">
        <v>810</v>
      </c>
      <c r="F50" s="642">
        <f>(G50*1000)/E50</f>
        <v>18.51851851851852</v>
      </c>
      <c r="G50" s="1846">
        <v>15</v>
      </c>
      <c r="H50" s="651" t="s">
        <v>464</v>
      </c>
      <c r="I50" s="652" t="s">
        <v>464</v>
      </c>
      <c r="J50" s="1047" t="s">
        <v>464</v>
      </c>
      <c r="K50" s="654" t="s">
        <v>585</v>
      </c>
    </row>
    <row r="51" spans="1:11" ht="18.75" customHeight="1">
      <c r="A51" s="650"/>
      <c r="B51" s="1025"/>
      <c r="C51" s="976"/>
      <c r="D51"/>
      <c r="E51" s="655"/>
      <c r="F51" s="642"/>
      <c r="G51" s="1864"/>
      <c r="H51" s="655"/>
      <c r="I51" s="641"/>
      <c r="J51" s="1864"/>
      <c r="K51" s="654"/>
    </row>
    <row r="52" spans="1:11" ht="18.75" customHeight="1">
      <c r="A52" s="657" t="s">
        <v>588</v>
      </c>
      <c r="B52" s="1039">
        <f>SUM(B53:B57)</f>
        <v>1375</v>
      </c>
      <c r="C52" s="980">
        <f>(D52*1000)/B52</f>
        <v>14.545454545454545</v>
      </c>
      <c r="D52">
        <f>SUM(D53:D57)</f>
        <v>20</v>
      </c>
      <c r="E52" s="658">
        <f>SUM(E53:E57)</f>
        <v>4238</v>
      </c>
      <c r="F52" s="1228">
        <f>(G52*1000)/E52</f>
        <v>23.36007550731477</v>
      </c>
      <c r="G52" s="1872">
        <f>SUM(G53:G57)</f>
        <v>99</v>
      </c>
      <c r="H52" s="651" t="s">
        <v>464</v>
      </c>
      <c r="I52" s="652" t="s">
        <v>464</v>
      </c>
      <c r="J52" s="1047" t="s">
        <v>464</v>
      </c>
      <c r="K52" s="661" t="s">
        <v>589</v>
      </c>
    </row>
    <row r="53" spans="1:11" ht="18.75" customHeight="1">
      <c r="A53" s="650" t="s">
        <v>590</v>
      </c>
      <c r="B53" s="1025">
        <v>515</v>
      </c>
      <c r="C53" s="976">
        <f>(D53*1000)/B53</f>
        <v>17.475728155339805</v>
      </c>
      <c r="D53">
        <v>9</v>
      </c>
      <c r="E53" s="655">
        <v>3324</v>
      </c>
      <c r="F53" s="642">
        <f>(G53*1000)/E53</f>
        <v>22.56317689530686</v>
      </c>
      <c r="G53" s="1864">
        <v>75</v>
      </c>
      <c r="H53" s="651" t="s">
        <v>464</v>
      </c>
      <c r="I53" s="652" t="s">
        <v>464</v>
      </c>
      <c r="J53" s="1047" t="s">
        <v>464</v>
      </c>
      <c r="K53" s="654" t="s">
        <v>591</v>
      </c>
    </row>
    <row r="54" spans="1:256" ht="18.75" customHeight="1">
      <c r="A54" s="650" t="s">
        <v>592</v>
      </c>
      <c r="B54" s="1036" t="s">
        <v>464</v>
      </c>
      <c r="C54" s="1037" t="s">
        <v>464</v>
      </c>
      <c r="D54" t="s">
        <v>464</v>
      </c>
      <c r="E54" s="655">
        <v>80</v>
      </c>
      <c r="F54" s="1874">
        <f>(G54*1000)/E54</f>
        <v>37.5</v>
      </c>
      <c r="G54" s="1864">
        <v>3</v>
      </c>
      <c r="H54" s="651" t="s">
        <v>464</v>
      </c>
      <c r="I54" s="652" t="s">
        <v>464</v>
      </c>
      <c r="J54" s="1047" t="s">
        <v>464</v>
      </c>
      <c r="K54" s="654" t="s">
        <v>593</v>
      </c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  <c r="CG54" s="302"/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2"/>
      <c r="CZ54" s="302"/>
      <c r="DA54" s="302"/>
      <c r="DB54" s="302"/>
      <c r="DC54" s="302"/>
      <c r="DD54" s="302"/>
      <c r="DE54" s="302"/>
      <c r="DF54" s="302"/>
      <c r="DG54" s="302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302"/>
      <c r="DS54" s="302"/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2"/>
      <c r="EL54" s="302"/>
      <c r="EM54" s="302"/>
      <c r="EN54" s="302"/>
      <c r="EO54" s="302"/>
      <c r="EP54" s="302"/>
      <c r="EQ54" s="302"/>
      <c r="ER54" s="302"/>
      <c r="ES54" s="302"/>
      <c r="ET54" s="302"/>
      <c r="EU54" s="302"/>
      <c r="EV54" s="302"/>
      <c r="EW54" s="302"/>
      <c r="EX54" s="302"/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0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E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</row>
    <row r="55" spans="1:11" ht="18.75" customHeight="1">
      <c r="A55" s="650" t="s">
        <v>594</v>
      </c>
      <c r="B55" s="1025">
        <v>860</v>
      </c>
      <c r="C55" s="976">
        <f>(D55*1000)/B55</f>
        <v>12.790697674418604</v>
      </c>
      <c r="D55">
        <v>11</v>
      </c>
      <c r="E55" s="655">
        <v>560</v>
      </c>
      <c r="F55" s="1048">
        <f>(G55*1000)/E55</f>
        <v>37.5</v>
      </c>
      <c r="G55" s="1864">
        <v>21</v>
      </c>
      <c r="H55" s="651" t="s">
        <v>464</v>
      </c>
      <c r="I55" s="652" t="s">
        <v>464</v>
      </c>
      <c r="J55" s="1047" t="s">
        <v>464</v>
      </c>
      <c r="K55" s="654" t="s">
        <v>594</v>
      </c>
    </row>
    <row r="56" spans="1:11" ht="18.75" customHeight="1">
      <c r="A56" s="650" t="s">
        <v>599</v>
      </c>
      <c r="B56" s="1036" t="s">
        <v>464</v>
      </c>
      <c r="C56" s="1037" t="s">
        <v>464</v>
      </c>
      <c r="D56" t="s">
        <v>464</v>
      </c>
      <c r="E56" s="655">
        <v>254</v>
      </c>
      <c r="F56" s="2413" t="s">
        <v>464</v>
      </c>
      <c r="G56" s="2413" t="s">
        <v>464</v>
      </c>
      <c r="H56" s="651" t="s">
        <v>464</v>
      </c>
      <c r="I56" s="652" t="s">
        <v>464</v>
      </c>
      <c r="J56" s="1047" t="s">
        <v>464</v>
      </c>
      <c r="K56" s="654" t="s">
        <v>599</v>
      </c>
    </row>
    <row r="57" spans="1:11" ht="18.75" customHeight="1">
      <c r="A57" s="650" t="s">
        <v>598</v>
      </c>
      <c r="B57" s="1036" t="s">
        <v>464</v>
      </c>
      <c r="C57" s="1037" t="s">
        <v>464</v>
      </c>
      <c r="D57" t="s">
        <v>464</v>
      </c>
      <c r="E57" s="655">
        <v>20</v>
      </c>
      <c r="F57" s="2413" t="s">
        <v>464</v>
      </c>
      <c r="G57" s="1846" t="s">
        <v>464</v>
      </c>
      <c r="H57" s="651" t="s">
        <v>464</v>
      </c>
      <c r="I57" s="652" t="s">
        <v>464</v>
      </c>
      <c r="J57" s="1047" t="s">
        <v>464</v>
      </c>
      <c r="K57" s="654" t="s">
        <v>598</v>
      </c>
    </row>
    <row r="58" spans="1:11" ht="18.75" customHeight="1">
      <c r="A58" s="662"/>
      <c r="B58" s="1025"/>
      <c r="C58" s="1887"/>
      <c r="D58"/>
      <c r="E58" s="655"/>
      <c r="F58" s="1230"/>
      <c r="G58" s="1041"/>
      <c r="H58" s="655"/>
      <c r="I58" s="664"/>
      <c r="J58" s="1041"/>
      <c r="K58" s="654"/>
    </row>
    <row r="59" spans="1:11" ht="18.75" customHeight="1">
      <c r="A59" s="657" t="s">
        <v>601</v>
      </c>
      <c r="B59" s="1039">
        <f>SUM(B60:B63)</f>
        <v>14579</v>
      </c>
      <c r="C59" s="980">
        <f>(D59*1000)/B59</f>
        <v>18.183688867549215</v>
      </c>
      <c r="D59">
        <f>SUM(D60:D63)</f>
        <v>265.1</v>
      </c>
      <c r="E59" s="658">
        <f>SUM(E60:E63)</f>
        <v>3195</v>
      </c>
      <c r="F59" s="1228">
        <f>(G59*1000)/E59</f>
        <v>19.718309859154928</v>
      </c>
      <c r="G59" s="1872">
        <f>SUM(G60:G63)</f>
        <v>63</v>
      </c>
      <c r="H59" s="658">
        <f>SUM(H60:H63)</f>
        <v>200</v>
      </c>
      <c r="I59" s="659">
        <f>(J59*1000)/H59</f>
        <v>10</v>
      </c>
      <c r="J59" s="1872">
        <f>SUM(J60:J63)</f>
        <v>2</v>
      </c>
      <c r="K59" s="661" t="s">
        <v>602</v>
      </c>
    </row>
    <row r="60" spans="1:11" ht="18.75" customHeight="1">
      <c r="A60" s="650" t="s">
        <v>603</v>
      </c>
      <c r="B60" s="1231">
        <v>1624</v>
      </c>
      <c r="C60" s="976">
        <f>(D60*1000)/B60</f>
        <v>19.088669950738915</v>
      </c>
      <c r="D60">
        <v>31</v>
      </c>
      <c r="E60" s="984">
        <v>940</v>
      </c>
      <c r="F60" s="642">
        <f>(G60*1000)/E60</f>
        <v>24.46808510638298</v>
      </c>
      <c r="G60" s="1864">
        <v>23</v>
      </c>
      <c r="H60" s="651" t="s">
        <v>464</v>
      </c>
      <c r="I60" s="652" t="s">
        <v>464</v>
      </c>
      <c r="J60" s="1047" t="s">
        <v>464</v>
      </c>
      <c r="K60" s="654" t="s">
        <v>604</v>
      </c>
    </row>
    <row r="61" spans="1:11" ht="18.75" customHeight="1">
      <c r="A61" s="650" t="s">
        <v>605</v>
      </c>
      <c r="B61" s="1025">
        <v>11810</v>
      </c>
      <c r="C61" s="976">
        <f>(D61*1000)/B61</f>
        <v>18.62828111769687</v>
      </c>
      <c r="D61">
        <v>220</v>
      </c>
      <c r="E61" s="655">
        <v>420</v>
      </c>
      <c r="F61" s="642">
        <f>(G61*1000)/E61</f>
        <v>16.666666666666668</v>
      </c>
      <c r="G61" s="1864">
        <v>7</v>
      </c>
      <c r="H61" s="655">
        <v>200</v>
      </c>
      <c r="I61" s="641">
        <f>(J61*1000)/H61</f>
        <v>10</v>
      </c>
      <c r="J61" s="1864">
        <v>2</v>
      </c>
      <c r="K61" s="654" t="s">
        <v>606</v>
      </c>
    </row>
    <row r="62" spans="1:11" ht="18.75" customHeight="1">
      <c r="A62" s="650" t="s">
        <v>607</v>
      </c>
      <c r="B62" s="1036" t="s">
        <v>464</v>
      </c>
      <c r="C62" s="1037" t="s">
        <v>464</v>
      </c>
      <c r="D62" t="s">
        <v>464</v>
      </c>
      <c r="E62" s="655">
        <v>1300</v>
      </c>
      <c r="F62" s="642">
        <f>(G62*1000)/E62</f>
        <v>19.23076923076923</v>
      </c>
      <c r="G62" s="1864">
        <v>25</v>
      </c>
      <c r="H62" s="651" t="s">
        <v>464</v>
      </c>
      <c r="I62" s="652" t="s">
        <v>464</v>
      </c>
      <c r="J62" s="653" t="s">
        <v>464</v>
      </c>
      <c r="K62" s="654" t="s">
        <v>607</v>
      </c>
    </row>
    <row r="63" spans="1:11" ht="18" customHeight="1">
      <c r="A63" s="650" t="s">
        <v>608</v>
      </c>
      <c r="B63" s="1025">
        <v>1145</v>
      </c>
      <c r="C63" s="976">
        <f>(D63*1000)/B63</f>
        <v>12.314410480349345</v>
      </c>
      <c r="D63">
        <v>14.1</v>
      </c>
      <c r="E63" s="655">
        <v>535</v>
      </c>
      <c r="F63" s="642">
        <f>(G63*1000)/E63</f>
        <v>14.953271028037383</v>
      </c>
      <c r="G63" s="1864">
        <v>8</v>
      </c>
      <c r="H63" s="651" t="s">
        <v>464</v>
      </c>
      <c r="I63" s="652" t="s">
        <v>464</v>
      </c>
      <c r="J63" s="653" t="s">
        <v>464</v>
      </c>
      <c r="K63" s="654" t="s">
        <v>608</v>
      </c>
    </row>
    <row r="64" spans="1:256" ht="18.75" customHeight="1">
      <c r="A64" s="666"/>
      <c r="B64" s="1039"/>
      <c r="C64" s="2212"/>
      <c r="D64"/>
      <c r="E64" s="658"/>
      <c r="F64" s="1230"/>
      <c r="G64" s="1044"/>
      <c r="H64" s="658"/>
      <c r="I64" s="668"/>
      <c r="J64" s="669"/>
      <c r="K64" s="670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302"/>
      <c r="CI64" s="302"/>
      <c r="CJ64" s="302"/>
      <c r="CK64" s="302"/>
      <c r="CL64" s="302"/>
      <c r="CM64" s="302"/>
      <c r="CN64" s="302"/>
      <c r="CO64" s="302"/>
      <c r="CP64" s="302"/>
      <c r="CQ64" s="302"/>
      <c r="CR64" s="302"/>
      <c r="CS64" s="302"/>
      <c r="CT64" s="302"/>
      <c r="CU64" s="302"/>
      <c r="CV64" s="302"/>
      <c r="CW64" s="302"/>
      <c r="CX64" s="302"/>
      <c r="CY64" s="302"/>
      <c r="CZ64" s="302"/>
      <c r="DA64" s="302"/>
      <c r="DB64" s="302"/>
      <c r="DC64" s="302"/>
      <c r="DD64" s="302"/>
      <c r="DE64" s="302"/>
      <c r="DF64" s="302"/>
      <c r="DG64" s="302"/>
      <c r="DH64" s="302"/>
      <c r="DI64" s="302"/>
      <c r="DJ64" s="302"/>
      <c r="DK64" s="302"/>
      <c r="DL64" s="302"/>
      <c r="DM64" s="302"/>
      <c r="DN64" s="302"/>
      <c r="DO64" s="302"/>
      <c r="DP64" s="302"/>
      <c r="DQ64" s="302"/>
      <c r="DR64" s="302"/>
      <c r="DS64" s="302"/>
      <c r="DT64" s="302"/>
      <c r="DU64" s="302"/>
      <c r="DV64" s="302"/>
      <c r="DW64" s="302"/>
      <c r="DX64" s="302"/>
      <c r="DY64" s="302"/>
      <c r="DZ64" s="302"/>
      <c r="EA64" s="302"/>
      <c r="EB64" s="302"/>
      <c r="EC64" s="302"/>
      <c r="ED64" s="302"/>
      <c r="EE64" s="302"/>
      <c r="EF64" s="302"/>
      <c r="EG64" s="302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02"/>
      <c r="EU64" s="302"/>
      <c r="EV64" s="302"/>
      <c r="EW64" s="302"/>
      <c r="EX64" s="302"/>
      <c r="EY64" s="302"/>
      <c r="EZ64" s="302"/>
      <c r="FA64" s="302"/>
      <c r="FB64" s="302"/>
      <c r="FC64" s="302"/>
      <c r="FD64" s="302"/>
      <c r="FE64" s="302"/>
      <c r="FF64" s="302"/>
      <c r="FG64" s="302"/>
      <c r="FH64" s="302"/>
      <c r="FI64" s="302"/>
      <c r="FJ64" s="302"/>
      <c r="FK64" s="302"/>
      <c r="FL64" s="30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E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</row>
    <row r="65" spans="1:11" ht="18.75" customHeight="1">
      <c r="A65" s="666" t="s">
        <v>1286</v>
      </c>
      <c r="B65" s="1039">
        <f>SUM(B66:B67)</f>
        <v>27038</v>
      </c>
      <c r="C65" s="980">
        <f>(D65*1000)/B65</f>
        <v>18.307567127746136</v>
      </c>
      <c r="D65">
        <f>SUM(D66:D67)</f>
        <v>495</v>
      </c>
      <c r="E65" s="658">
        <f>SUM(E66:E67)</f>
        <v>2325</v>
      </c>
      <c r="F65" s="1228">
        <f>(G65*1000)/E65</f>
        <v>45.59139784946237</v>
      </c>
      <c r="G65" s="1044">
        <f>SUM(G66:G67)</f>
        <v>106</v>
      </c>
      <c r="H65" s="658">
        <f>SUM(H66:H67)</f>
        <v>1152</v>
      </c>
      <c r="I65" s="1878">
        <f>(J65*1000)/H65</f>
        <v>16.493055555555557</v>
      </c>
      <c r="J65" s="669">
        <f>SUM(J66:J67)</f>
        <v>19</v>
      </c>
      <c r="K65" s="661" t="s">
        <v>1286</v>
      </c>
    </row>
    <row r="66" spans="1:11" ht="18.75" customHeight="1">
      <c r="A66" s="662" t="s">
        <v>586</v>
      </c>
      <c r="B66" s="1025">
        <v>23195</v>
      </c>
      <c r="C66" s="976">
        <f>(D66*1000)/B66</f>
        <v>16.813968527699934</v>
      </c>
      <c r="D66">
        <v>390</v>
      </c>
      <c r="E66" s="655">
        <v>1175</v>
      </c>
      <c r="F66" s="642">
        <f>(G66*1000)/E66</f>
        <v>42.5531914893617</v>
      </c>
      <c r="G66" s="1041">
        <v>50</v>
      </c>
      <c r="H66" s="651" t="s">
        <v>464</v>
      </c>
      <c r="I66" s="652" t="s">
        <v>464</v>
      </c>
      <c r="J66" s="653" t="s">
        <v>464</v>
      </c>
      <c r="K66" s="654" t="s">
        <v>586</v>
      </c>
    </row>
    <row r="67" spans="1:11" ht="18.75" customHeight="1">
      <c r="A67" s="662" t="s">
        <v>587</v>
      </c>
      <c r="B67" s="1025">
        <v>3843</v>
      </c>
      <c r="C67" s="976">
        <f>(D67*1000)/B67</f>
        <v>27.3224043715847</v>
      </c>
      <c r="D67">
        <v>105</v>
      </c>
      <c r="E67" s="655">
        <v>1150</v>
      </c>
      <c r="F67" s="642">
        <f>(G67*1000)/E67</f>
        <v>48.69565217391305</v>
      </c>
      <c r="G67" s="1041">
        <v>56</v>
      </c>
      <c r="H67" s="655">
        <v>1152</v>
      </c>
      <c r="I67" s="1877">
        <f>(J67*1000)/H67</f>
        <v>16.493055555555557</v>
      </c>
      <c r="J67" s="665">
        <v>19</v>
      </c>
      <c r="K67" s="654" t="s">
        <v>587</v>
      </c>
    </row>
    <row r="68" spans="1:11" ht="18.75" customHeight="1">
      <c r="A68" s="662"/>
      <c r="B68" s="1025"/>
      <c r="C68" s="1887"/>
      <c r="D68"/>
      <c r="E68" s="655"/>
      <c r="F68" s="1230"/>
      <c r="G68" s="1041"/>
      <c r="H68" s="655"/>
      <c r="I68" s="664"/>
      <c r="J68" s="665"/>
      <c r="K68" s="654"/>
    </row>
    <row r="69" spans="1:11" ht="20.25">
      <c r="A69" s="666" t="s">
        <v>1287</v>
      </c>
      <c r="B69" s="1039">
        <f>SUM(B70:B72)</f>
        <v>5560</v>
      </c>
      <c r="C69" s="980">
        <f>(D69*1000)/B69</f>
        <v>24.280575539568346</v>
      </c>
      <c r="D69">
        <f>SUM(D70:D72)</f>
        <v>135</v>
      </c>
      <c r="E69" s="658">
        <f>SUM(E70:E72)</f>
        <v>2640</v>
      </c>
      <c r="F69" s="1228">
        <f>(G69*1000)/E69</f>
        <v>16.28787878787879</v>
      </c>
      <c r="G69" s="1044">
        <f>SUM(G70:G72)</f>
        <v>43</v>
      </c>
      <c r="H69" s="651" t="s">
        <v>464</v>
      </c>
      <c r="I69" s="652" t="s">
        <v>464</v>
      </c>
      <c r="J69" s="653" t="s">
        <v>464</v>
      </c>
      <c r="K69" s="661" t="s">
        <v>1287</v>
      </c>
    </row>
    <row r="70" spans="1:11" ht="20.25">
      <c r="A70" s="662" t="s">
        <v>1273</v>
      </c>
      <c r="B70" s="1025">
        <v>260</v>
      </c>
      <c r="C70" s="976">
        <f>(D70*1000)/B70</f>
        <v>7.6923076923076925</v>
      </c>
      <c r="D70">
        <v>2</v>
      </c>
      <c r="E70" s="655">
        <v>330</v>
      </c>
      <c r="F70" s="2413" t="s">
        <v>464</v>
      </c>
      <c r="G70" s="1229" t="s">
        <v>464</v>
      </c>
      <c r="H70" s="651" t="s">
        <v>464</v>
      </c>
      <c r="I70" s="652" t="s">
        <v>464</v>
      </c>
      <c r="J70" s="653" t="s">
        <v>464</v>
      </c>
      <c r="K70" s="654" t="s">
        <v>1273</v>
      </c>
    </row>
    <row r="71" spans="1:11" ht="20.25">
      <c r="A71" s="662" t="s">
        <v>596</v>
      </c>
      <c r="B71" s="1025">
        <v>1840</v>
      </c>
      <c r="C71" s="976">
        <f>(D71*1000)/B71</f>
        <v>20.652173913043477</v>
      </c>
      <c r="D71">
        <v>38</v>
      </c>
      <c r="E71" s="655">
        <v>790</v>
      </c>
      <c r="F71" s="642">
        <f>(G71*1000)/E71</f>
        <v>18.9873417721519</v>
      </c>
      <c r="G71" s="1041">
        <v>15</v>
      </c>
      <c r="H71" s="651" t="s">
        <v>464</v>
      </c>
      <c r="I71" s="652" t="s">
        <v>464</v>
      </c>
      <c r="J71" s="653" t="s">
        <v>464</v>
      </c>
      <c r="K71" s="654" t="s">
        <v>596</v>
      </c>
    </row>
    <row r="72" spans="1:11" ht="21" thickBot="1">
      <c r="A72" s="671" t="s">
        <v>595</v>
      </c>
      <c r="B72" s="1232">
        <v>3460</v>
      </c>
      <c r="C72" s="2149">
        <f>(D72*1000)/B72</f>
        <v>27.45664739884393</v>
      </c>
      <c r="D72">
        <v>95</v>
      </c>
      <c r="E72" s="672">
        <v>1520</v>
      </c>
      <c r="F72" s="735">
        <f>(G72*1000)/E72</f>
        <v>18.42105263157895</v>
      </c>
      <c r="G72" s="1873">
        <v>28</v>
      </c>
      <c r="H72" s="685" t="s">
        <v>464</v>
      </c>
      <c r="I72" s="686" t="s">
        <v>464</v>
      </c>
      <c r="J72" s="687" t="s">
        <v>464</v>
      </c>
      <c r="K72" s="674" t="s">
        <v>595</v>
      </c>
    </row>
  </sheetData>
  <sheetProtection/>
  <printOptions/>
  <pageMargins left="0.76" right="0.5905511811023623" top="0.984251968503937" bottom="0.984251968503937" header="0.5118110236220472" footer="0.5118110236220472"/>
  <pageSetup horizontalDpi="300" verticalDpi="300" orientation="portrait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6"/>
  <sheetViews>
    <sheetView zoomScale="72" zoomScaleNormal="72" zoomScalePageLayoutView="0" workbookViewId="0" topLeftCell="A1">
      <selection activeCell="J27" sqref="J27"/>
    </sheetView>
  </sheetViews>
  <sheetFormatPr defaultColWidth="9.7109375" defaultRowHeight="12.75"/>
  <cols>
    <col min="1" max="1" width="27.421875" style="108" customWidth="1"/>
    <col min="2" max="2" width="13.7109375" style="159" customWidth="1"/>
    <col min="3" max="3" width="11.57421875" style="159" customWidth="1"/>
    <col min="4" max="4" width="16.28125" style="159" bestFit="1" customWidth="1"/>
    <col min="5" max="5" width="17.140625" style="159" customWidth="1"/>
    <col min="6" max="6" width="12.140625" style="159" customWidth="1"/>
    <col min="7" max="7" width="16.00390625" style="159" customWidth="1"/>
    <col min="8" max="8" width="18.00390625" style="159" customWidth="1"/>
    <col min="9" max="9" width="11.8515625" style="159" customWidth="1"/>
    <col min="10" max="10" width="16.8515625" style="159" customWidth="1"/>
    <col min="11" max="11" width="23.8515625" style="1007" customWidth="1"/>
    <col min="12" max="16384" width="9.7109375" style="108" customWidth="1"/>
  </cols>
  <sheetData>
    <row r="1" ht="20.25">
      <c r="A1" s="154" t="s">
        <v>672</v>
      </c>
    </row>
    <row r="2" ht="21" thickBot="1"/>
    <row r="3" spans="1:11" ht="21" thickBot="1">
      <c r="A3" s="2106"/>
      <c r="B3" s="633" t="s">
        <v>673</v>
      </c>
      <c r="C3" s="634"/>
      <c r="D3" s="635"/>
      <c r="E3" s="633" t="s">
        <v>1492</v>
      </c>
      <c r="F3" s="634"/>
      <c r="G3" s="635"/>
      <c r="H3" s="633" t="s">
        <v>1489</v>
      </c>
      <c r="I3" s="634"/>
      <c r="J3" s="634"/>
      <c r="K3" s="1895"/>
    </row>
    <row r="4" spans="1:11" ht="20.25">
      <c r="A4" s="1010" t="s">
        <v>566</v>
      </c>
      <c r="B4" s="536" t="s">
        <v>649</v>
      </c>
      <c r="C4" s="536" t="s">
        <v>568</v>
      </c>
      <c r="D4" s="536" t="s">
        <v>569</v>
      </c>
      <c r="E4" s="536" t="s">
        <v>658</v>
      </c>
      <c r="F4" s="536" t="s">
        <v>568</v>
      </c>
      <c r="G4" s="536" t="s">
        <v>569</v>
      </c>
      <c r="H4" s="536" t="s">
        <v>658</v>
      </c>
      <c r="I4" s="536" t="s">
        <v>568</v>
      </c>
      <c r="J4" s="536" t="s">
        <v>569</v>
      </c>
      <c r="K4" s="1011" t="s">
        <v>570</v>
      </c>
    </row>
    <row r="5" spans="1:11" ht="20.25">
      <c r="A5" s="1010" t="s">
        <v>571</v>
      </c>
      <c r="B5" s="639" t="s">
        <v>572</v>
      </c>
      <c r="C5" s="639" t="s">
        <v>573</v>
      </c>
      <c r="D5" s="639" t="s">
        <v>574</v>
      </c>
      <c r="E5" s="639" t="s">
        <v>659</v>
      </c>
      <c r="F5" s="639" t="s">
        <v>573</v>
      </c>
      <c r="G5" s="639" t="s">
        <v>574</v>
      </c>
      <c r="H5" s="639" t="s">
        <v>659</v>
      </c>
      <c r="I5" s="639" t="s">
        <v>573</v>
      </c>
      <c r="J5" s="639" t="s">
        <v>574</v>
      </c>
      <c r="K5" s="1011" t="s">
        <v>575</v>
      </c>
    </row>
    <row r="6" spans="1:11" ht="21" thickBot="1">
      <c r="A6" s="1010"/>
      <c r="B6" s="535" t="s">
        <v>444</v>
      </c>
      <c r="C6" s="535" t="s">
        <v>576</v>
      </c>
      <c r="D6" s="535" t="s">
        <v>577</v>
      </c>
      <c r="E6" s="535" t="s">
        <v>660</v>
      </c>
      <c r="F6" s="535" t="s">
        <v>666</v>
      </c>
      <c r="G6" s="535" t="s">
        <v>577</v>
      </c>
      <c r="H6" s="535" t="s">
        <v>660</v>
      </c>
      <c r="I6" s="535" t="s">
        <v>666</v>
      </c>
      <c r="J6" s="535" t="s">
        <v>577</v>
      </c>
      <c r="K6" s="1011"/>
    </row>
    <row r="7" spans="1:11" s="154" customFormat="1" ht="30" customHeight="1" thickBot="1">
      <c r="A7" s="675" t="s">
        <v>578</v>
      </c>
      <c r="B7" s="2586">
        <f>SUM(B20+B26)</f>
        <v>107.5</v>
      </c>
      <c r="C7" s="678">
        <f>(D7*1000)/B7</f>
        <v>3320.9302325581393</v>
      </c>
      <c r="D7" s="634">
        <f>D26+D20</f>
        <v>357</v>
      </c>
      <c r="E7" s="633">
        <f>SUM(E8+E13+E20+E26+E30)</f>
        <v>292777</v>
      </c>
      <c r="F7" s="1225">
        <f>(G7*1000)/E7</f>
        <v>9.79243588123384</v>
      </c>
      <c r="G7" s="634">
        <f>SUM(G8+G13+G20+G26+G30)</f>
        <v>2867</v>
      </c>
      <c r="H7" s="633">
        <f>SUM(H8+H13+H20+H26+H30)</f>
        <v>491556</v>
      </c>
      <c r="I7" s="1225">
        <f>(J7*1000)/H7</f>
        <v>4.532545630609738</v>
      </c>
      <c r="J7" s="635">
        <f>SUM(J8+J13+J20+J26+J30)</f>
        <v>2228</v>
      </c>
      <c r="K7" s="967" t="s">
        <v>579</v>
      </c>
    </row>
    <row r="8" spans="1:11" s="154" customFormat="1" ht="23.25" customHeight="1">
      <c r="A8" s="646" t="s">
        <v>580</v>
      </c>
      <c r="B8" s="682" t="s">
        <v>464</v>
      </c>
      <c r="C8" s="683" t="s">
        <v>464</v>
      </c>
      <c r="D8" s="684" t="s">
        <v>464</v>
      </c>
      <c r="E8" s="647">
        <f>SUM(E9:E11)</f>
        <v>8800</v>
      </c>
      <c r="F8" s="1227">
        <f>(G8*1000)/E8</f>
        <v>7.5</v>
      </c>
      <c r="G8" s="648">
        <f>SUM(G9:G11)</f>
        <v>66</v>
      </c>
      <c r="H8" s="647">
        <f>SUM(H9:H11)</f>
        <v>55585</v>
      </c>
      <c r="I8" s="1227">
        <f>(J8*1000)/H8</f>
        <v>5.523072771431141</v>
      </c>
      <c r="J8" s="648">
        <f>SUM(J9:J11)</f>
        <v>307</v>
      </c>
      <c r="K8" s="649" t="s">
        <v>581</v>
      </c>
    </row>
    <row r="9" spans="1:11" ht="23.25" customHeight="1">
      <c r="A9" s="650" t="s">
        <v>582</v>
      </c>
      <c r="B9" s="651" t="s">
        <v>464</v>
      </c>
      <c r="C9" s="652" t="s">
        <v>464</v>
      </c>
      <c r="D9" s="653" t="s">
        <v>464</v>
      </c>
      <c r="E9" s="679" t="s">
        <v>464</v>
      </c>
      <c r="F9" t="s">
        <v>464</v>
      </c>
      <c r="G9" s="677" t="s">
        <v>464</v>
      </c>
      <c r="H9" s="679">
        <v>1965</v>
      </c>
      <c r="I9" s="642">
        <f>(J9*1000)/H9</f>
        <v>3.5623409669211195</v>
      </c>
      <c r="J9" s="680">
        <v>7</v>
      </c>
      <c r="K9" s="654" t="s">
        <v>583</v>
      </c>
    </row>
    <row r="10" spans="1:11" ht="23.25" customHeight="1">
      <c r="A10" s="650" t="s">
        <v>584</v>
      </c>
      <c r="B10" s="651" t="s">
        <v>464</v>
      </c>
      <c r="C10" s="652" t="s">
        <v>464</v>
      </c>
      <c r="D10" s="653" t="s">
        <v>464</v>
      </c>
      <c r="E10" s="679">
        <v>7310</v>
      </c>
      <c r="F10" s="642">
        <f>(G10*1000)/E10</f>
        <v>7.523939808481532</v>
      </c>
      <c r="G10" s="680">
        <v>55</v>
      </c>
      <c r="H10" s="679">
        <v>40270</v>
      </c>
      <c r="I10" s="642">
        <f>(J10*1000)/H10</f>
        <v>4.593990563695058</v>
      </c>
      <c r="J10" s="680">
        <v>185</v>
      </c>
      <c r="K10" s="654" t="s">
        <v>584</v>
      </c>
    </row>
    <row r="11" spans="1:11" ht="23.25" customHeight="1">
      <c r="A11" s="650" t="s">
        <v>585</v>
      </c>
      <c r="B11" s="651" t="s">
        <v>464</v>
      </c>
      <c r="C11" s="652" t="s">
        <v>464</v>
      </c>
      <c r="D11" s="653" t="s">
        <v>464</v>
      </c>
      <c r="E11" s="679">
        <v>1490</v>
      </c>
      <c r="F11" s="642">
        <f>(G11*1000)/E11</f>
        <v>7.382550335570469</v>
      </c>
      <c r="G11" s="680">
        <v>11</v>
      </c>
      <c r="H11" s="679">
        <v>13350</v>
      </c>
      <c r="I11" s="642">
        <f>(J11*1000)/H11</f>
        <v>8.614232209737828</v>
      </c>
      <c r="J11" s="680">
        <v>115</v>
      </c>
      <c r="K11" s="654" t="s">
        <v>585</v>
      </c>
    </row>
    <row r="12" spans="1:11" ht="23.25" customHeight="1">
      <c r="A12" s="650"/>
      <c r="B12" s="655"/>
      <c r="C12" s="641"/>
      <c r="D12" s="656"/>
      <c r="E12" s="655"/>
      <c r="F12" s="642"/>
      <c r="G12" s="656"/>
      <c r="H12" s="655"/>
      <c r="I12" s="642"/>
      <c r="J12" s="656"/>
      <c r="K12" s="654"/>
    </row>
    <row r="13" spans="1:11" ht="23.25" customHeight="1">
      <c r="A13" s="657" t="s">
        <v>588</v>
      </c>
      <c r="B13" s="651" t="s">
        <v>464</v>
      </c>
      <c r="C13" s="652" t="s">
        <v>464</v>
      </c>
      <c r="D13" s="653" t="s">
        <v>464</v>
      </c>
      <c r="E13" s="658">
        <f>SUM(E14:E18)</f>
        <v>63320</v>
      </c>
      <c r="F13" s="1228">
        <f aca="true" t="shared" si="0" ref="F13:F18">(G13*1000)/E13</f>
        <v>15.38218572331017</v>
      </c>
      <c r="G13" s="660">
        <f>SUM(G14:G18)</f>
        <v>974</v>
      </c>
      <c r="H13" s="658">
        <f>SUM(H14:H18)</f>
        <v>78585</v>
      </c>
      <c r="I13" s="1228">
        <f aca="true" t="shared" si="1" ref="I13:I18">(J13*1000)/H13</f>
        <v>1.5270089711777057</v>
      </c>
      <c r="J13" s="660">
        <f>SUM(J14:J18)</f>
        <v>120</v>
      </c>
      <c r="K13" s="661" t="s">
        <v>589</v>
      </c>
    </row>
    <row r="14" spans="1:11" ht="23.25" customHeight="1">
      <c r="A14" s="650" t="s">
        <v>590</v>
      </c>
      <c r="B14" s="651" t="s">
        <v>464</v>
      </c>
      <c r="C14" s="652" t="s">
        <v>464</v>
      </c>
      <c r="D14" s="653" t="s">
        <v>464</v>
      </c>
      <c r="E14" s="655">
        <v>5170</v>
      </c>
      <c r="F14" s="642">
        <f t="shared" si="0"/>
        <v>10.058027079303676</v>
      </c>
      <c r="G14" s="656">
        <v>52</v>
      </c>
      <c r="H14" s="655">
        <v>3190</v>
      </c>
      <c r="I14" s="642">
        <f t="shared" si="1"/>
        <v>9.404388714733543</v>
      </c>
      <c r="J14" s="656">
        <v>30</v>
      </c>
      <c r="K14" s="654" t="s">
        <v>591</v>
      </c>
    </row>
    <row r="15" spans="1:11" s="154" customFormat="1" ht="23.25" customHeight="1">
      <c r="A15" s="650" t="s">
        <v>592</v>
      </c>
      <c r="B15" s="651" t="s">
        <v>464</v>
      </c>
      <c r="C15" s="652" t="s">
        <v>464</v>
      </c>
      <c r="D15" s="653" t="s">
        <v>464</v>
      </c>
      <c r="E15" s="679" t="s">
        <v>464</v>
      </c>
      <c r="F15" t="s">
        <v>464</v>
      </c>
      <c r="G15" s="677" t="s">
        <v>464</v>
      </c>
      <c r="H15" s="655">
        <v>4295</v>
      </c>
      <c r="I15" s="642">
        <f t="shared" si="1"/>
        <v>0.9313154831199069</v>
      </c>
      <c r="J15" s="656">
        <v>4</v>
      </c>
      <c r="K15" s="654" t="s">
        <v>593</v>
      </c>
    </row>
    <row r="16" spans="1:11" ht="23.25" customHeight="1">
      <c r="A16" s="650" t="s">
        <v>594</v>
      </c>
      <c r="B16" s="651" t="s">
        <v>464</v>
      </c>
      <c r="C16" s="652" t="s">
        <v>464</v>
      </c>
      <c r="D16" s="653" t="s">
        <v>464</v>
      </c>
      <c r="E16" s="655">
        <v>3610</v>
      </c>
      <c r="F16" s="642">
        <f t="shared" si="0"/>
        <v>11.357340720221607</v>
      </c>
      <c r="G16" s="656">
        <v>41</v>
      </c>
      <c r="H16" s="655">
        <v>27100</v>
      </c>
      <c r="I16" s="642">
        <f t="shared" si="1"/>
        <v>1.4391143911439115</v>
      </c>
      <c r="J16" s="656">
        <v>39</v>
      </c>
      <c r="K16" s="654" t="s">
        <v>594</v>
      </c>
    </row>
    <row r="17" spans="1:11" ht="23.25" customHeight="1">
      <c r="A17" s="650" t="s">
        <v>599</v>
      </c>
      <c r="B17" s="651" t="s">
        <v>464</v>
      </c>
      <c r="C17" s="652" t="s">
        <v>464</v>
      </c>
      <c r="D17" s="653" t="s">
        <v>464</v>
      </c>
      <c r="E17" s="655">
        <v>52950</v>
      </c>
      <c r="F17" s="2444">
        <f t="shared" si="0"/>
        <v>16.052880075542966</v>
      </c>
      <c r="G17" s="2351">
        <v>850</v>
      </c>
      <c r="H17" s="1025">
        <v>36800</v>
      </c>
      <c r="I17" s="2444">
        <f t="shared" si="1"/>
        <v>0.9782608695652174</v>
      </c>
      <c r="J17" s="2351">
        <v>36</v>
      </c>
      <c r="K17" s="654" t="s">
        <v>599</v>
      </c>
    </row>
    <row r="18" spans="1:11" ht="23.25" customHeight="1">
      <c r="A18" s="650" t="s">
        <v>598</v>
      </c>
      <c r="B18" s="651" t="s">
        <v>464</v>
      </c>
      <c r="C18" s="652" t="s">
        <v>464</v>
      </c>
      <c r="D18" s="653" t="s">
        <v>464</v>
      </c>
      <c r="E18" s="655">
        <v>1590</v>
      </c>
      <c r="F18" s="2444">
        <f t="shared" si="0"/>
        <v>19.49685534591195</v>
      </c>
      <c r="G18" s="2351">
        <v>31</v>
      </c>
      <c r="H18" s="1025">
        <v>7200</v>
      </c>
      <c r="I18" s="2444">
        <f t="shared" si="1"/>
        <v>1.5277777777777777</v>
      </c>
      <c r="J18" s="2351">
        <v>11</v>
      </c>
      <c r="K18" s="654" t="s">
        <v>598</v>
      </c>
    </row>
    <row r="19" spans="1:11" ht="23.25" customHeight="1">
      <c r="A19" s="662"/>
      <c r="B19" s="663"/>
      <c r="C19" s="664"/>
      <c r="D19" s="665"/>
      <c r="E19" s="655"/>
      <c r="F19" s="1230"/>
      <c r="G19" s="2222"/>
      <c r="H19" s="655"/>
      <c r="I19" s="1230"/>
      <c r="J19" s="2222"/>
      <c r="K19" s="654"/>
    </row>
    <row r="20" spans="1:11" ht="23.25" customHeight="1">
      <c r="A20" s="657" t="s">
        <v>601</v>
      </c>
      <c r="B20" s="983">
        <f>SUM(B21:B24)</f>
        <v>0.5</v>
      </c>
      <c r="C20" s="983">
        <f>(D20*1000)/B20</f>
        <v>4000</v>
      </c>
      <c r="D20" s="983">
        <f>SUM(D21:D24)</f>
        <v>2</v>
      </c>
      <c r="E20" s="658">
        <f>SUM(E21:E24)</f>
        <v>46410</v>
      </c>
      <c r="F20" s="1228">
        <f>(G20*1000)/E20</f>
        <v>8.554190907132083</v>
      </c>
      <c r="G20" s="660">
        <f>SUM(G21:G24)</f>
        <v>397</v>
      </c>
      <c r="H20" s="658">
        <f>SUM(H21:H24)</f>
        <v>124696</v>
      </c>
      <c r="I20" s="1228">
        <f>(J20*1000)/H20</f>
        <v>2.903060242509784</v>
      </c>
      <c r="J20" s="660">
        <f>SUM(J21:J24)</f>
        <v>362</v>
      </c>
      <c r="K20" s="661" t="s">
        <v>602</v>
      </c>
    </row>
    <row r="21" spans="1:11" ht="23.25" customHeight="1">
      <c r="A21" s="650" t="s">
        <v>603</v>
      </c>
      <c r="B21" s="983">
        <v>0.5</v>
      </c>
      <c r="C21" s="983">
        <f>(D21*1000)/B21</f>
        <v>4000</v>
      </c>
      <c r="D21" s="983">
        <v>2</v>
      </c>
      <c r="E21" s="984">
        <v>17540</v>
      </c>
      <c r="F21" s="642">
        <f>(G21*1000)/E21</f>
        <v>8.55188141391106</v>
      </c>
      <c r="G21" s="656">
        <v>150</v>
      </c>
      <c r="H21" s="984">
        <v>54950</v>
      </c>
      <c r="I21" s="642">
        <f>(J21*1000)/H21</f>
        <v>1.5468607825295724</v>
      </c>
      <c r="J21" s="656">
        <v>85</v>
      </c>
      <c r="K21" s="654" t="s">
        <v>604</v>
      </c>
    </row>
    <row r="22" spans="1:11" ht="23.25" customHeight="1">
      <c r="A22" s="650" t="s">
        <v>605</v>
      </c>
      <c r="B22" s="651" t="s">
        <v>464</v>
      </c>
      <c r="C22" s="652" t="s">
        <v>464</v>
      </c>
      <c r="D22" s="653" t="s">
        <v>464</v>
      </c>
      <c r="E22" s="655">
        <v>4200</v>
      </c>
      <c r="F22" s="642">
        <f>(G22*1000)/E22</f>
        <v>10</v>
      </c>
      <c r="G22" s="656">
        <v>42</v>
      </c>
      <c r="H22" s="655">
        <v>34500</v>
      </c>
      <c r="I22" s="642">
        <f>(J22*1000)/H22</f>
        <v>6.086956521739131</v>
      </c>
      <c r="J22" s="656">
        <v>210</v>
      </c>
      <c r="K22" s="654" t="s">
        <v>606</v>
      </c>
    </row>
    <row r="23" spans="1:11" ht="23.25" customHeight="1">
      <c r="A23" s="650" t="s">
        <v>607</v>
      </c>
      <c r="B23" s="651" t="s">
        <v>464</v>
      </c>
      <c r="C23" s="652" t="s">
        <v>464</v>
      </c>
      <c r="D23" s="653" t="s">
        <v>464</v>
      </c>
      <c r="E23" s="679" t="s">
        <v>464</v>
      </c>
      <c r="F23" t="s">
        <v>464</v>
      </c>
      <c r="G23" s="677" t="s">
        <v>464</v>
      </c>
      <c r="H23" s="655">
        <v>11151</v>
      </c>
      <c r="I23" s="642">
        <f>(J23*1000)/H23</f>
        <v>2.7800197291722717</v>
      </c>
      <c r="J23" s="656">
        <v>31</v>
      </c>
      <c r="K23" s="654" t="s">
        <v>607</v>
      </c>
    </row>
    <row r="24" spans="1:11" ht="23.25" customHeight="1">
      <c r="A24" s="650" t="s">
        <v>608</v>
      </c>
      <c r="B24" s="651" t="s">
        <v>464</v>
      </c>
      <c r="C24" s="652" t="s">
        <v>464</v>
      </c>
      <c r="D24" s="653" t="s">
        <v>464</v>
      </c>
      <c r="E24" s="655">
        <v>24670</v>
      </c>
      <c r="F24" s="642">
        <f>(G24*1000)/E24</f>
        <v>8.309687880016215</v>
      </c>
      <c r="G24" s="656">
        <v>205</v>
      </c>
      <c r="H24" s="655">
        <v>24095</v>
      </c>
      <c r="I24" s="642">
        <f>(J24*1000)/H24</f>
        <v>1.4940859099398216</v>
      </c>
      <c r="J24" s="656">
        <v>36</v>
      </c>
      <c r="K24" s="654" t="s">
        <v>608</v>
      </c>
    </row>
    <row r="25" spans="1:11" s="154" customFormat="1" ht="23.25" customHeight="1">
      <c r="A25" s="666"/>
      <c r="B25" s="667"/>
      <c r="C25" s="668"/>
      <c r="D25" s="669"/>
      <c r="E25" s="658"/>
      <c r="F25" s="2445"/>
      <c r="G25" s="2221"/>
      <c r="H25" s="658"/>
      <c r="I25" s="2445"/>
      <c r="J25" s="2221"/>
      <c r="K25" s="670"/>
    </row>
    <row r="26" spans="1:11" ht="23.25" customHeight="1">
      <c r="A26" s="666" t="s">
        <v>1286</v>
      </c>
      <c r="B26" s="667">
        <f>SUM(B27:B28)</f>
        <v>107</v>
      </c>
      <c r="C26" s="659">
        <f>(D26*1000)/B26</f>
        <v>3317.7570093457944</v>
      </c>
      <c r="D26" s="669">
        <f>SUM(D27:D28)</f>
        <v>355</v>
      </c>
      <c r="E26" s="658">
        <f>SUM(E27:E28)</f>
        <v>1207</v>
      </c>
      <c r="F26" s="1228">
        <f>(G26*1000)/E26</f>
        <v>57.995028997514495</v>
      </c>
      <c r="G26" s="2221">
        <f>SUM(G27:G28)</f>
        <v>70</v>
      </c>
      <c r="H26" s="658">
        <f>SUM(H27:H28)</f>
        <v>51070</v>
      </c>
      <c r="I26" s="1228">
        <f>(J26*1000)/H26</f>
        <v>23.32093205404347</v>
      </c>
      <c r="J26" s="2221">
        <f>SUM(J27:J28)</f>
        <v>1191</v>
      </c>
      <c r="K26" s="661" t="s">
        <v>1286</v>
      </c>
    </row>
    <row r="27" spans="1:11" ht="23.25" customHeight="1">
      <c r="A27" s="662" t="s">
        <v>586</v>
      </c>
      <c r="B27" s="679">
        <v>4</v>
      </c>
      <c r="C27" s="641">
        <f>(D27*1000)/B27</f>
        <v>2500</v>
      </c>
      <c r="D27" s="680">
        <v>10</v>
      </c>
      <c r="E27" s="679">
        <v>527</v>
      </c>
      <c r="F27" s="642">
        <f>(G27*1000)/E27</f>
        <v>58.8235294117647</v>
      </c>
      <c r="G27" s="677">
        <v>31</v>
      </c>
      <c r="H27" s="655">
        <v>19220</v>
      </c>
      <c r="I27" s="642">
        <f>(J27*1000)/H27</f>
        <v>30.541103017689906</v>
      </c>
      <c r="J27" s="2222">
        <v>587</v>
      </c>
      <c r="K27" s="654" t="s">
        <v>586</v>
      </c>
    </row>
    <row r="28" spans="1:11" ht="23.25" customHeight="1">
      <c r="A28" s="662" t="s">
        <v>587</v>
      </c>
      <c r="B28" s="663">
        <v>103</v>
      </c>
      <c r="C28" s="641">
        <f>(D28*1000)/B28</f>
        <v>3349.5145631067962</v>
      </c>
      <c r="D28" s="665">
        <v>345</v>
      </c>
      <c r="E28" s="655">
        <v>680</v>
      </c>
      <c r="F28" s="642">
        <f>(G28*1000)/E28</f>
        <v>57.35294117647059</v>
      </c>
      <c r="G28" s="2222">
        <v>39</v>
      </c>
      <c r="H28" s="655">
        <v>31850</v>
      </c>
      <c r="I28" s="642">
        <f>(J28*1000)/H28</f>
        <v>18.963893249607537</v>
      </c>
      <c r="J28" s="2222">
        <v>604</v>
      </c>
      <c r="K28" s="654" t="s">
        <v>587</v>
      </c>
    </row>
    <row r="29" spans="1:11" ht="23.25" customHeight="1">
      <c r="A29" s="662"/>
      <c r="B29" s="663"/>
      <c r="C29" s="664"/>
      <c r="D29" s="665"/>
      <c r="E29" s="655"/>
      <c r="F29" s="1230"/>
      <c r="G29" s="2222"/>
      <c r="H29" s="655"/>
      <c r="I29" s="1230"/>
      <c r="J29" s="2222"/>
      <c r="K29" s="654"/>
    </row>
    <row r="30" spans="1:11" ht="23.25" customHeight="1">
      <c r="A30" s="666" t="s">
        <v>1287</v>
      </c>
      <c r="B30" s="651" t="s">
        <v>464</v>
      </c>
      <c r="C30" s="652" t="s">
        <v>464</v>
      </c>
      <c r="D30" s="653" t="s">
        <v>464</v>
      </c>
      <c r="E30" s="658">
        <f>SUM(E31:E33)</f>
        <v>173040</v>
      </c>
      <c r="F30" s="1228">
        <f>(G30*1000)/E30</f>
        <v>7.859454461396209</v>
      </c>
      <c r="G30" s="2221">
        <f>SUM(G31:G33)</f>
        <v>1360</v>
      </c>
      <c r="H30" s="658">
        <f>SUM(H31:H33)</f>
        <v>181620</v>
      </c>
      <c r="I30" s="1228">
        <f>(J30*1000)/H30</f>
        <v>1.365488382336747</v>
      </c>
      <c r="J30" s="2221">
        <f>SUM(J31:J33)</f>
        <v>248</v>
      </c>
      <c r="K30" s="661" t="s">
        <v>1287</v>
      </c>
    </row>
    <row r="31" spans="1:11" ht="23.25" customHeight="1">
      <c r="A31" s="662" t="s">
        <v>1273</v>
      </c>
      <c r="B31" s="651" t="s">
        <v>464</v>
      </c>
      <c r="C31" s="652" t="s">
        <v>464</v>
      </c>
      <c r="D31" s="653" t="s">
        <v>464</v>
      </c>
      <c r="E31" s="655">
        <v>52340</v>
      </c>
      <c r="F31" s="2444">
        <f>(G31*1000)/E31</f>
        <v>8.11998471532289</v>
      </c>
      <c r="G31">
        <v>425</v>
      </c>
      <c r="H31" s="655">
        <v>36750</v>
      </c>
      <c r="I31" s="642">
        <f>(J31*1000)/H31</f>
        <v>0.46258503401360546</v>
      </c>
      <c r="J31" s="2222">
        <v>17</v>
      </c>
      <c r="K31" s="654" t="s">
        <v>1273</v>
      </c>
    </row>
    <row r="32" spans="1:11" ht="23.25" customHeight="1">
      <c r="A32" s="662" t="s">
        <v>596</v>
      </c>
      <c r="B32" s="651" t="s">
        <v>464</v>
      </c>
      <c r="C32" s="652" t="s">
        <v>464</v>
      </c>
      <c r="D32" s="653" t="s">
        <v>464</v>
      </c>
      <c r="E32" s="655">
        <v>40800</v>
      </c>
      <c r="F32" s="642">
        <f>(G32*1000)/E32</f>
        <v>9.313725490196079</v>
      </c>
      <c r="G32" s="2222">
        <v>380</v>
      </c>
      <c r="H32" s="655">
        <v>64200</v>
      </c>
      <c r="I32" s="642">
        <f>(J32*1000)/H32</f>
        <v>1.1059190031152648</v>
      </c>
      <c r="J32" s="2222">
        <v>71</v>
      </c>
      <c r="K32" s="654" t="s">
        <v>596</v>
      </c>
    </row>
    <row r="33" spans="1:11" ht="23.25" customHeight="1" thickBot="1">
      <c r="A33" s="671" t="s">
        <v>595</v>
      </c>
      <c r="B33" s="685" t="s">
        <v>464</v>
      </c>
      <c r="C33" s="686" t="s">
        <v>464</v>
      </c>
      <c r="D33" s="687" t="s">
        <v>464</v>
      </c>
      <c r="E33" s="672">
        <v>79900</v>
      </c>
      <c r="F33">
        <f>(G33*1000)/E33</f>
        <v>6.9461827284105135</v>
      </c>
      <c r="G33">
        <v>555</v>
      </c>
      <c r="H33" s="672">
        <v>80670</v>
      </c>
      <c r="I33" s="735">
        <f>(J33*1000)/H33</f>
        <v>1.983389116152225</v>
      </c>
      <c r="J33" s="673">
        <v>160</v>
      </c>
      <c r="K33" s="674" t="s">
        <v>595</v>
      </c>
    </row>
    <row r="34" spans="1:11" ht="21.75" customHeight="1">
      <c r="A34" s="983"/>
      <c r="B34" s="640"/>
      <c r="C34" s="640"/>
      <c r="D34" s="640"/>
      <c r="E34" s="640"/>
      <c r="F34" s="640"/>
      <c r="G34" s="640"/>
      <c r="H34" s="640"/>
      <c r="I34" s="640"/>
      <c r="J34" s="640"/>
      <c r="K34" s="1050"/>
    </row>
    <row r="35" ht="21" thickBot="1"/>
    <row r="36" spans="1:11" ht="21" thickBot="1">
      <c r="A36" s="2106"/>
      <c r="B36" s="633" t="s">
        <v>1490</v>
      </c>
      <c r="C36" s="634"/>
      <c r="D36" s="635"/>
      <c r="E36" s="633" t="s">
        <v>1491</v>
      </c>
      <c r="F36" s="634"/>
      <c r="G36" s="635"/>
      <c r="H36" s="633" t="s">
        <v>146</v>
      </c>
      <c r="I36" s="634"/>
      <c r="J36" s="634"/>
      <c r="K36" s="1009"/>
    </row>
    <row r="37" spans="1:11" ht="20.25">
      <c r="A37" s="1010" t="s">
        <v>566</v>
      </c>
      <c r="B37" s="536" t="s">
        <v>567</v>
      </c>
      <c r="C37" s="536" t="s">
        <v>568</v>
      </c>
      <c r="D37" s="536" t="s">
        <v>569</v>
      </c>
      <c r="E37" s="536" t="s">
        <v>567</v>
      </c>
      <c r="F37" s="536" t="s">
        <v>568</v>
      </c>
      <c r="G37" s="536" t="s">
        <v>569</v>
      </c>
      <c r="H37" s="536" t="s">
        <v>567</v>
      </c>
      <c r="I37" s="536" t="s">
        <v>568</v>
      </c>
      <c r="J37" s="536" t="s">
        <v>569</v>
      </c>
      <c r="K37" s="1012" t="s">
        <v>570</v>
      </c>
    </row>
    <row r="38" spans="1:11" ht="20.25">
      <c r="A38" s="1010" t="s">
        <v>571</v>
      </c>
      <c r="B38" s="535" t="s">
        <v>572</v>
      </c>
      <c r="C38" s="535" t="s">
        <v>573</v>
      </c>
      <c r="D38" s="535" t="s">
        <v>574</v>
      </c>
      <c r="E38" s="535" t="s">
        <v>572</v>
      </c>
      <c r="F38" s="535" t="s">
        <v>573</v>
      </c>
      <c r="G38" s="535" t="s">
        <v>574</v>
      </c>
      <c r="H38" s="535" t="s">
        <v>572</v>
      </c>
      <c r="I38" s="535" t="s">
        <v>573</v>
      </c>
      <c r="J38" s="535" t="s">
        <v>574</v>
      </c>
      <c r="K38" s="1012" t="s">
        <v>575</v>
      </c>
    </row>
    <row r="39" spans="1:11" ht="21" thickBot="1">
      <c r="A39" s="1010"/>
      <c r="B39" s="535" t="s">
        <v>444</v>
      </c>
      <c r="C39" s="535" t="s">
        <v>576</v>
      </c>
      <c r="D39" s="535" t="s">
        <v>577</v>
      </c>
      <c r="E39" s="535" t="s">
        <v>444</v>
      </c>
      <c r="F39" s="535" t="s">
        <v>576</v>
      </c>
      <c r="G39" s="535" t="s">
        <v>577</v>
      </c>
      <c r="H39" s="535" t="s">
        <v>444</v>
      </c>
      <c r="I39" s="535" t="s">
        <v>576</v>
      </c>
      <c r="J39" s="535" t="s">
        <v>577</v>
      </c>
      <c r="K39" s="1012"/>
    </row>
    <row r="40" spans="1:11" s="154" customFormat="1" ht="27.75" customHeight="1" thickBot="1">
      <c r="A40" s="675" t="s">
        <v>578</v>
      </c>
      <c r="B40" s="633">
        <f>SUM(B41+B46+B53+B59+B63)</f>
        <v>940</v>
      </c>
      <c r="C40" s="678">
        <f>(D40*1000)/B40</f>
        <v>1173.404255319149</v>
      </c>
      <c r="D40" s="1032">
        <f>SUM(D41+D46+D53+D59+D63)</f>
        <v>1103</v>
      </c>
      <c r="E40" s="633">
        <f>E59</f>
        <v>1</v>
      </c>
      <c r="F40" s="678">
        <f>(G40*1000)/E40</f>
        <v>5000</v>
      </c>
      <c r="G40" s="634">
        <f>G59</f>
        <v>5</v>
      </c>
      <c r="H40" s="633">
        <f>SUM(H53+H59)</f>
        <v>52</v>
      </c>
      <c r="I40" s="678">
        <f>(J40*1000)/H40</f>
        <v>1269.2307692307693</v>
      </c>
      <c r="J40" s="635">
        <f>SUM(J53+J59)</f>
        <v>66</v>
      </c>
      <c r="K40" s="967" t="s">
        <v>579</v>
      </c>
    </row>
    <row r="41" spans="1:11" s="154" customFormat="1" ht="23.25" customHeight="1">
      <c r="A41" s="646" t="s">
        <v>580</v>
      </c>
      <c r="B41" s="647">
        <f>SUM(B42:B44)</f>
        <v>22</v>
      </c>
      <c r="C41" s="644">
        <f>(D41*1000)/B41</f>
        <v>1045.4545454545455</v>
      </c>
      <c r="D41" s="648">
        <f>SUM(D42:D44)</f>
        <v>23</v>
      </c>
      <c r="E41" s="2446" t="s">
        <v>464</v>
      </c>
      <c r="F41" s="1099" t="s">
        <v>464</v>
      </c>
      <c r="G41" s="2447" t="s">
        <v>464</v>
      </c>
      <c r="H41" s="2446" t="s">
        <v>464</v>
      </c>
      <c r="I41" s="1099" t="s">
        <v>464</v>
      </c>
      <c r="J41" s="2447" t="s">
        <v>464</v>
      </c>
      <c r="K41" s="649" t="s">
        <v>581</v>
      </c>
    </row>
    <row r="42" spans="1:11" ht="23.25" customHeight="1">
      <c r="A42" s="650" t="s">
        <v>582</v>
      </c>
      <c r="B42" s="679">
        <v>8</v>
      </c>
      <c r="C42" s="641">
        <f>(D42*1000)/B42</f>
        <v>1250</v>
      </c>
      <c r="D42" s="680">
        <v>10</v>
      </c>
      <c r="E42" s="679" t="s">
        <v>464</v>
      </c>
      <c r="F42" s="677" t="s">
        <v>464</v>
      </c>
      <c r="G42" s="680" t="s">
        <v>464</v>
      </c>
      <c r="H42" s="679" t="s">
        <v>464</v>
      </c>
      <c r="I42" s="677" t="s">
        <v>464</v>
      </c>
      <c r="J42" s="680" t="s">
        <v>464</v>
      </c>
      <c r="K42" s="654" t="s">
        <v>583</v>
      </c>
    </row>
    <row r="43" spans="1:11" ht="23.25" customHeight="1">
      <c r="A43" s="650" t="s">
        <v>584</v>
      </c>
      <c r="B43" s="679" t="s">
        <v>464</v>
      </c>
      <c r="C43" s="677" t="s">
        <v>464</v>
      </c>
      <c r="D43" s="680" t="s">
        <v>464</v>
      </c>
      <c r="E43" s="679" t="s">
        <v>464</v>
      </c>
      <c r="F43" s="677" t="s">
        <v>464</v>
      </c>
      <c r="G43" s="680" t="s">
        <v>464</v>
      </c>
      <c r="H43" s="679" t="s">
        <v>464</v>
      </c>
      <c r="I43" s="677" t="s">
        <v>464</v>
      </c>
      <c r="J43" s="680" t="s">
        <v>464</v>
      </c>
      <c r="K43" s="654" t="s">
        <v>584</v>
      </c>
    </row>
    <row r="44" spans="1:11" ht="23.25" customHeight="1">
      <c r="A44" s="650" t="s">
        <v>585</v>
      </c>
      <c r="B44" s="679">
        <v>14</v>
      </c>
      <c r="C44" s="641">
        <f>(D44*1000)/B44</f>
        <v>928.5714285714286</v>
      </c>
      <c r="D44" s="680">
        <v>13</v>
      </c>
      <c r="E44" s="679" t="s">
        <v>464</v>
      </c>
      <c r="F44" s="677" t="s">
        <v>464</v>
      </c>
      <c r="G44" s="680" t="s">
        <v>464</v>
      </c>
      <c r="H44" s="679" t="s">
        <v>464</v>
      </c>
      <c r="I44" s="677" t="s">
        <v>464</v>
      </c>
      <c r="J44" s="680" t="s">
        <v>464</v>
      </c>
      <c r="K44" s="654" t="s">
        <v>585</v>
      </c>
    </row>
    <row r="45" spans="1:11" ht="23.25" customHeight="1">
      <c r="A45" s="650"/>
      <c r="B45" s="655"/>
      <c r="C45" s="641"/>
      <c r="D45" s="656"/>
      <c r="E45" s="679"/>
      <c r="F45" s="677"/>
      <c r="G45" s="680"/>
      <c r="H45" s="655"/>
      <c r="I45" s="641"/>
      <c r="J45" s="656"/>
      <c r="K45" s="654"/>
    </row>
    <row r="46" spans="1:11" ht="23.25" customHeight="1">
      <c r="A46" s="657" t="s">
        <v>588</v>
      </c>
      <c r="B46" s="658">
        <f>SUM(B47:B51)</f>
        <v>12</v>
      </c>
      <c r="C46" s="659">
        <f>(D46*1000)/B46</f>
        <v>1416.6666666666667</v>
      </c>
      <c r="D46" s="660">
        <f>SUM(D47:D51)</f>
        <v>17</v>
      </c>
      <c r="E46" s="679" t="s">
        <v>464</v>
      </c>
      <c r="F46" s="677" t="s">
        <v>464</v>
      </c>
      <c r="G46" s="680" t="s">
        <v>464</v>
      </c>
      <c r="H46" s="679" t="s">
        <v>464</v>
      </c>
      <c r="I46" s="677" t="s">
        <v>464</v>
      </c>
      <c r="J46" s="680" t="s">
        <v>464</v>
      </c>
      <c r="K46" s="661" t="s">
        <v>589</v>
      </c>
    </row>
    <row r="47" spans="1:11" ht="23.25" customHeight="1">
      <c r="A47" s="650" t="s">
        <v>590</v>
      </c>
      <c r="B47" s="679" t="s">
        <v>464</v>
      </c>
      <c r="C47" s="677" t="s">
        <v>464</v>
      </c>
      <c r="D47" s="680" t="s">
        <v>464</v>
      </c>
      <c r="E47" s="679" t="s">
        <v>464</v>
      </c>
      <c r="F47" s="677" t="s">
        <v>464</v>
      </c>
      <c r="G47" s="680" t="s">
        <v>464</v>
      </c>
      <c r="H47" s="679" t="s">
        <v>464</v>
      </c>
      <c r="I47" s="677" t="s">
        <v>464</v>
      </c>
      <c r="J47" s="680" t="s">
        <v>464</v>
      </c>
      <c r="K47" s="654" t="s">
        <v>591</v>
      </c>
    </row>
    <row r="48" spans="1:11" s="154" customFormat="1" ht="23.25" customHeight="1">
      <c r="A48" s="650" t="s">
        <v>592</v>
      </c>
      <c r="B48" s="679" t="s">
        <v>464</v>
      </c>
      <c r="C48" s="677" t="s">
        <v>464</v>
      </c>
      <c r="D48" s="680" t="s">
        <v>464</v>
      </c>
      <c r="E48" s="679" t="s">
        <v>464</v>
      </c>
      <c r="F48" s="677" t="s">
        <v>464</v>
      </c>
      <c r="G48" s="680" t="s">
        <v>464</v>
      </c>
      <c r="H48" s="679" t="s">
        <v>464</v>
      </c>
      <c r="I48" s="677" t="s">
        <v>464</v>
      </c>
      <c r="J48" s="680" t="s">
        <v>464</v>
      </c>
      <c r="K48" s="654" t="s">
        <v>593</v>
      </c>
    </row>
    <row r="49" spans="1:11" ht="23.25" customHeight="1">
      <c r="A49" s="650" t="s">
        <v>594</v>
      </c>
      <c r="B49" s="655">
        <v>12</v>
      </c>
      <c r="C49" s="641">
        <f>(D49*1000)/B49</f>
        <v>1416.6666666666667</v>
      </c>
      <c r="D49" s="656">
        <v>17</v>
      </c>
      <c r="E49" s="679" t="s">
        <v>464</v>
      </c>
      <c r="F49" s="677" t="s">
        <v>464</v>
      </c>
      <c r="G49" s="680" t="s">
        <v>464</v>
      </c>
      <c r="H49" s="679" t="s">
        <v>464</v>
      </c>
      <c r="I49" s="677" t="s">
        <v>464</v>
      </c>
      <c r="J49" s="680" t="s">
        <v>464</v>
      </c>
      <c r="K49" s="654" t="s">
        <v>594</v>
      </c>
    </row>
    <row r="50" spans="1:11" ht="23.25" customHeight="1">
      <c r="A50" s="650" t="s">
        <v>599</v>
      </c>
      <c r="B50" s="679" t="s">
        <v>464</v>
      </c>
      <c r="C50" s="677" t="s">
        <v>464</v>
      </c>
      <c r="D50" s="680" t="s">
        <v>464</v>
      </c>
      <c r="E50" s="679" t="s">
        <v>464</v>
      </c>
      <c r="F50" s="677" t="s">
        <v>464</v>
      </c>
      <c r="G50" s="680" t="s">
        <v>464</v>
      </c>
      <c r="H50" s="679" t="s">
        <v>464</v>
      </c>
      <c r="I50" s="677" t="s">
        <v>464</v>
      </c>
      <c r="J50" s="680" t="s">
        <v>464</v>
      </c>
      <c r="K50" s="654" t="s">
        <v>599</v>
      </c>
    </row>
    <row r="51" spans="1:11" ht="23.25" customHeight="1">
      <c r="A51" s="650" t="s">
        <v>598</v>
      </c>
      <c r="B51" s="679" t="s">
        <v>464</v>
      </c>
      <c r="C51" s="677" t="s">
        <v>464</v>
      </c>
      <c r="D51" s="680" t="s">
        <v>464</v>
      </c>
      <c r="E51" s="679" t="s">
        <v>464</v>
      </c>
      <c r="F51" s="677" t="s">
        <v>464</v>
      </c>
      <c r="G51" s="680" t="s">
        <v>464</v>
      </c>
      <c r="H51" s="679" t="s">
        <v>464</v>
      </c>
      <c r="I51" s="677" t="s">
        <v>464</v>
      </c>
      <c r="J51" s="680" t="s">
        <v>464</v>
      </c>
      <c r="K51" s="654" t="s">
        <v>598</v>
      </c>
    </row>
    <row r="52" spans="1:11" ht="23.25" customHeight="1">
      <c r="A52" s="662"/>
      <c r="B52" s="663"/>
      <c r="C52" s="664"/>
      <c r="D52" s="665"/>
      <c r="E52" s="663"/>
      <c r="F52" s="664"/>
      <c r="G52" s="665"/>
      <c r="H52" s="663"/>
      <c r="I52" s="664"/>
      <c r="J52" s="665"/>
      <c r="K52" s="654"/>
    </row>
    <row r="53" spans="1:11" ht="23.25" customHeight="1">
      <c r="A53" s="657" t="s">
        <v>601</v>
      </c>
      <c r="B53" s="658">
        <f>SUM(B54:B57)</f>
        <v>417</v>
      </c>
      <c r="C53" s="659">
        <f>(D53*1000)/B53</f>
        <v>1023.9808153477218</v>
      </c>
      <c r="D53" s="660">
        <f>SUM(D54:D57)</f>
        <v>427</v>
      </c>
      <c r="E53" s="679" t="s">
        <v>464</v>
      </c>
      <c r="F53" s="677" t="s">
        <v>464</v>
      </c>
      <c r="G53" s="680" t="s">
        <v>464</v>
      </c>
      <c r="H53" s="658">
        <f>SUM(H54:H57)</f>
        <v>19</v>
      </c>
      <c r="I53" s="659">
        <f>(J53*1000)/H53</f>
        <v>1315.7894736842106</v>
      </c>
      <c r="J53" s="660">
        <f>SUM(J54:J57)</f>
        <v>25</v>
      </c>
      <c r="K53" s="661" t="s">
        <v>602</v>
      </c>
    </row>
    <row r="54" spans="1:11" ht="23.25" customHeight="1">
      <c r="A54" s="650" t="s">
        <v>603</v>
      </c>
      <c r="B54" s="984">
        <v>39</v>
      </c>
      <c r="C54" s="641">
        <f>(D54*1000)/B54</f>
        <v>846.1538461538462</v>
      </c>
      <c r="D54" s="656">
        <v>33</v>
      </c>
      <c r="E54" s="679" t="s">
        <v>464</v>
      </c>
      <c r="F54" s="677" t="s">
        <v>464</v>
      </c>
      <c r="G54" s="680" t="s">
        <v>464</v>
      </c>
      <c r="H54" s="679" t="s">
        <v>464</v>
      </c>
      <c r="I54" s="677" t="s">
        <v>464</v>
      </c>
      <c r="J54" s="680" t="s">
        <v>464</v>
      </c>
      <c r="K54" s="654" t="s">
        <v>604</v>
      </c>
    </row>
    <row r="55" spans="1:11" ht="23.25" customHeight="1">
      <c r="A55" s="650" t="s">
        <v>605</v>
      </c>
      <c r="B55" s="655">
        <v>129</v>
      </c>
      <c r="C55" s="641">
        <f>(D55*1000)/B55</f>
        <v>1100.7751937984497</v>
      </c>
      <c r="D55" s="656">
        <v>142</v>
      </c>
      <c r="E55" s="679" t="s">
        <v>464</v>
      </c>
      <c r="F55" s="677" t="s">
        <v>464</v>
      </c>
      <c r="G55" s="680" t="s">
        <v>464</v>
      </c>
      <c r="H55" s="655">
        <v>6</v>
      </c>
      <c r="I55" s="641">
        <f>(J55*1000)/H55</f>
        <v>1333.3333333333333</v>
      </c>
      <c r="J55" s="656">
        <v>8</v>
      </c>
      <c r="K55" s="654" t="s">
        <v>606</v>
      </c>
    </row>
    <row r="56" spans="1:11" ht="23.25" customHeight="1">
      <c r="A56" s="650" t="s">
        <v>607</v>
      </c>
      <c r="B56" s="655">
        <v>210</v>
      </c>
      <c r="C56" s="641">
        <f>(D56*1000)/B56</f>
        <v>1047.6190476190477</v>
      </c>
      <c r="D56" s="656">
        <v>220</v>
      </c>
      <c r="E56" s="679" t="s">
        <v>464</v>
      </c>
      <c r="F56" s="677" t="s">
        <v>464</v>
      </c>
      <c r="G56" s="680" t="s">
        <v>464</v>
      </c>
      <c r="H56" s="655">
        <v>13</v>
      </c>
      <c r="I56" s="641">
        <f>(J56*1000)/H56</f>
        <v>1307.6923076923076</v>
      </c>
      <c r="J56" s="656">
        <v>17</v>
      </c>
      <c r="K56" s="654" t="s">
        <v>607</v>
      </c>
    </row>
    <row r="57" spans="1:11" ht="23.25" customHeight="1">
      <c r="A57" s="650" t="s">
        <v>608</v>
      </c>
      <c r="B57" s="655">
        <v>39</v>
      </c>
      <c r="C57" s="641">
        <f>(D57*1000)/B57</f>
        <v>820.5128205128206</v>
      </c>
      <c r="D57" s="656">
        <v>32</v>
      </c>
      <c r="E57" s="679" t="s">
        <v>464</v>
      </c>
      <c r="F57" s="677" t="s">
        <v>464</v>
      </c>
      <c r="G57" s="680" t="s">
        <v>464</v>
      </c>
      <c r="H57" s="679" t="s">
        <v>464</v>
      </c>
      <c r="I57" s="677" t="s">
        <v>464</v>
      </c>
      <c r="J57" s="680" t="s">
        <v>464</v>
      </c>
      <c r="K57" s="654" t="s">
        <v>608</v>
      </c>
    </row>
    <row r="58" spans="1:11" s="154" customFormat="1" ht="23.25" customHeight="1">
      <c r="A58" s="666"/>
      <c r="B58" s="667"/>
      <c r="C58" s="668"/>
      <c r="D58" s="669"/>
      <c r="E58" s="667"/>
      <c r="F58" s="668"/>
      <c r="G58" s="669"/>
      <c r="H58" s="667"/>
      <c r="I58" s="668"/>
      <c r="J58" s="669"/>
      <c r="K58" s="670"/>
    </row>
    <row r="59" spans="1:11" ht="23.25" customHeight="1">
      <c r="A59" s="666" t="s">
        <v>1286</v>
      </c>
      <c r="B59" s="667">
        <f>SUM(B60:B61)</f>
        <v>388</v>
      </c>
      <c r="C59" s="659">
        <f>(D59*1000)/B59</f>
        <v>1425.2577319587629</v>
      </c>
      <c r="D59" s="669">
        <f>SUM(D60:D61)</f>
        <v>553</v>
      </c>
      <c r="E59" s="667">
        <f>SUM(E60:E61)</f>
        <v>1</v>
      </c>
      <c r="F59" s="659">
        <f>(G59*1000)/E59</f>
        <v>5000</v>
      </c>
      <c r="G59" s="669">
        <f>SUM(G60:G61)</f>
        <v>5</v>
      </c>
      <c r="H59" s="667">
        <f>SUM(H60:H61)</f>
        <v>33</v>
      </c>
      <c r="I59" s="659">
        <f>(J59*1000)/H59</f>
        <v>1242.4242424242425</v>
      </c>
      <c r="J59" s="669">
        <f>SUM(J60:J61)</f>
        <v>41</v>
      </c>
      <c r="K59" s="661" t="s">
        <v>1286</v>
      </c>
    </row>
    <row r="60" spans="1:11" ht="23.25" customHeight="1">
      <c r="A60" s="662" t="s">
        <v>586</v>
      </c>
      <c r="B60" s="663">
        <v>31</v>
      </c>
      <c r="C60" s="641">
        <f>(D60*1000)/B60</f>
        <v>1096.774193548387</v>
      </c>
      <c r="D60" s="665">
        <v>34</v>
      </c>
      <c r="E60" s="663">
        <v>1</v>
      </c>
      <c r="F60" s="641">
        <f>(G60*1000)/E60</f>
        <v>5000</v>
      </c>
      <c r="G60" s="665">
        <v>5</v>
      </c>
      <c r="H60" s="663">
        <v>12</v>
      </c>
      <c r="I60" s="641">
        <f>(J60*1000)/H60</f>
        <v>1416.6666666666667</v>
      </c>
      <c r="J60" s="665">
        <v>17</v>
      </c>
      <c r="K60" s="654" t="s">
        <v>586</v>
      </c>
    </row>
    <row r="61" spans="1:11" ht="23.25" customHeight="1">
      <c r="A61" s="662" t="s">
        <v>587</v>
      </c>
      <c r="B61" s="663">
        <v>357</v>
      </c>
      <c r="C61" s="641">
        <f>(D61*1000)/B61</f>
        <v>1453.781512605042</v>
      </c>
      <c r="D61" s="665">
        <v>519</v>
      </c>
      <c r="E61" s="679" t="s">
        <v>464</v>
      </c>
      <c r="F61" s="677" t="s">
        <v>464</v>
      </c>
      <c r="G61" s="680" t="s">
        <v>464</v>
      </c>
      <c r="H61" s="663">
        <v>21</v>
      </c>
      <c r="I61" s="641">
        <f>(J61*1000)/H61</f>
        <v>1142.857142857143</v>
      </c>
      <c r="J61" s="665">
        <v>24</v>
      </c>
      <c r="K61" s="654" t="s">
        <v>587</v>
      </c>
    </row>
    <row r="62" spans="1:11" ht="23.25" customHeight="1">
      <c r="A62" s="662"/>
      <c r="B62" s="663"/>
      <c r="C62" s="664"/>
      <c r="D62" s="665"/>
      <c r="E62" s="663"/>
      <c r="F62" s="664"/>
      <c r="G62" s="665"/>
      <c r="H62" s="663"/>
      <c r="I62" s="664"/>
      <c r="J62" s="665"/>
      <c r="K62" s="654"/>
    </row>
    <row r="63" spans="1:12" ht="23.25" customHeight="1">
      <c r="A63" s="666" t="s">
        <v>1287</v>
      </c>
      <c r="B63" s="667">
        <f>SUM(B64:B66)</f>
        <v>101</v>
      </c>
      <c r="C63" s="659">
        <f>(D63*1000)/B63</f>
        <v>821.7821782178218</v>
      </c>
      <c r="D63" s="669">
        <f>SUM(D64:D66)</f>
        <v>83</v>
      </c>
      <c r="E63" s="679" t="s">
        <v>464</v>
      </c>
      <c r="F63" s="677" t="s">
        <v>464</v>
      </c>
      <c r="G63" s="680" t="s">
        <v>464</v>
      </c>
      <c r="H63" s="679" t="s">
        <v>464</v>
      </c>
      <c r="I63" s="677" t="s">
        <v>464</v>
      </c>
      <c r="J63" s="680" t="s">
        <v>464</v>
      </c>
      <c r="K63" s="661" t="s">
        <v>1287</v>
      </c>
      <c r="L63" s="159"/>
    </row>
    <row r="64" spans="1:11" ht="23.25" customHeight="1">
      <c r="A64" s="662" t="s">
        <v>1273</v>
      </c>
      <c r="B64" s="663">
        <v>9</v>
      </c>
      <c r="C64" s="641">
        <f>(D64*1000)/B64</f>
        <v>1222.2222222222222</v>
      </c>
      <c r="D64" s="665">
        <v>11</v>
      </c>
      <c r="E64" s="679" t="s">
        <v>464</v>
      </c>
      <c r="F64" s="677" t="s">
        <v>464</v>
      </c>
      <c r="G64" s="680" t="s">
        <v>464</v>
      </c>
      <c r="H64" s="679" t="s">
        <v>464</v>
      </c>
      <c r="I64" s="677" t="s">
        <v>464</v>
      </c>
      <c r="J64" s="680" t="s">
        <v>464</v>
      </c>
      <c r="K64" s="654" t="s">
        <v>1273</v>
      </c>
    </row>
    <row r="65" spans="1:11" ht="23.25" customHeight="1">
      <c r="A65" s="662" t="s">
        <v>596</v>
      </c>
      <c r="B65" s="679" t="s">
        <v>464</v>
      </c>
      <c r="C65" s="677" t="s">
        <v>464</v>
      </c>
      <c r="D65" s="680" t="s">
        <v>464</v>
      </c>
      <c r="E65" s="679" t="s">
        <v>464</v>
      </c>
      <c r="F65" s="677" t="s">
        <v>464</v>
      </c>
      <c r="G65" s="680" t="s">
        <v>464</v>
      </c>
      <c r="H65" s="679" t="s">
        <v>464</v>
      </c>
      <c r="I65" s="677" t="s">
        <v>464</v>
      </c>
      <c r="J65" s="680" t="s">
        <v>464</v>
      </c>
      <c r="K65" s="654" t="s">
        <v>596</v>
      </c>
    </row>
    <row r="66" spans="1:11" ht="23.25" customHeight="1" thickBot="1">
      <c r="A66" s="671" t="s">
        <v>595</v>
      </c>
      <c r="B66" s="672">
        <v>92</v>
      </c>
      <c r="C66" s="344">
        <f>(D66*1000)/B66</f>
        <v>782.6086956521739</v>
      </c>
      <c r="D66" s="673">
        <v>72</v>
      </c>
      <c r="E66" s="1051" t="s">
        <v>464</v>
      </c>
      <c r="F66" s="1052" t="s">
        <v>464</v>
      </c>
      <c r="G66" s="1053" t="s">
        <v>464</v>
      </c>
      <c r="H66" s="1051" t="s">
        <v>464</v>
      </c>
      <c r="I66" s="1052" t="s">
        <v>464</v>
      </c>
      <c r="J66" s="1053" t="s">
        <v>464</v>
      </c>
      <c r="K66" s="674" t="s">
        <v>595</v>
      </c>
    </row>
  </sheetData>
  <sheetProtection/>
  <printOptions/>
  <pageMargins left="0.85" right="1" top="0.94" bottom="1" header="0.5" footer="0.5"/>
  <pageSetup horizontalDpi="300" verticalDpi="3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6"/>
  <sheetViews>
    <sheetView zoomScale="65" zoomScaleNormal="65" zoomScalePageLayoutView="0" workbookViewId="0" topLeftCell="A1">
      <selection activeCell="D64" sqref="D64"/>
    </sheetView>
  </sheetViews>
  <sheetFormatPr defaultColWidth="9.7109375" defaultRowHeight="12.75"/>
  <cols>
    <col min="1" max="1" width="26.421875" style="158" customWidth="1"/>
    <col min="2" max="2" width="11.57421875" style="158" customWidth="1"/>
    <col min="3" max="3" width="12.140625" style="157" customWidth="1"/>
    <col min="4" max="4" width="17.28125" style="158" customWidth="1"/>
    <col min="5" max="5" width="10.57421875" style="158" customWidth="1"/>
    <col min="6" max="6" width="11.28125" style="157" customWidth="1"/>
    <col min="7" max="7" width="15.8515625" style="158" customWidth="1"/>
    <col min="8" max="8" width="10.57421875" style="158" customWidth="1"/>
    <col min="9" max="9" width="11.140625" style="158" customWidth="1"/>
    <col min="10" max="10" width="16.28125" style="158" customWidth="1"/>
    <col min="11" max="11" width="23.8515625" style="158" customWidth="1"/>
    <col min="12" max="16384" width="9.7109375" style="158" customWidth="1"/>
  </cols>
  <sheetData>
    <row r="1" spans="1:11" ht="23.25">
      <c r="A1" s="1128" t="s">
        <v>668</v>
      </c>
      <c r="B1" s="1129"/>
      <c r="C1" s="221"/>
      <c r="D1" s="1130"/>
      <c r="E1" s="1129"/>
      <c r="F1" s="221"/>
      <c r="G1" s="1129"/>
      <c r="H1" s="1129"/>
      <c r="I1" s="1129"/>
      <c r="J1" s="1129"/>
      <c r="K1" s="1129"/>
    </row>
    <row r="2" spans="1:11" ht="24" thickBot="1">
      <c r="A2" s="1129"/>
      <c r="B2" s="1129"/>
      <c r="C2" s="221"/>
      <c r="D2" s="1130"/>
      <c r="E2" s="1129"/>
      <c r="F2" s="221"/>
      <c r="G2" s="1129"/>
      <c r="H2" s="1129"/>
      <c r="I2" s="1129"/>
      <c r="J2" s="1129"/>
      <c r="K2" s="1129"/>
    </row>
    <row r="3" spans="1:11" ht="24" thickBot="1">
      <c r="A3" s="1132"/>
      <c r="B3" s="1097" t="s">
        <v>1493</v>
      </c>
      <c r="C3" s="634"/>
      <c r="D3" s="1216"/>
      <c r="E3" s="1097" t="s">
        <v>1646</v>
      </c>
      <c r="F3" s="634"/>
      <c r="G3" s="1208"/>
      <c r="H3" s="1097" t="s">
        <v>1494</v>
      </c>
      <c r="I3" s="1209"/>
      <c r="J3" s="1209"/>
      <c r="K3" s="1191"/>
    </row>
    <row r="4" spans="1:11" ht="23.25">
      <c r="A4" s="1138" t="s">
        <v>566</v>
      </c>
      <c r="B4" s="1139" t="s">
        <v>649</v>
      </c>
      <c r="C4" s="275" t="s">
        <v>568</v>
      </c>
      <c r="D4" s="1140" t="s">
        <v>569</v>
      </c>
      <c r="E4" s="1139" t="s">
        <v>649</v>
      </c>
      <c r="F4" s="275" t="s">
        <v>568</v>
      </c>
      <c r="G4" s="1139" t="s">
        <v>569</v>
      </c>
      <c r="H4" s="1139" t="s">
        <v>649</v>
      </c>
      <c r="I4" s="1139" t="s">
        <v>568</v>
      </c>
      <c r="J4" s="1139" t="s">
        <v>569</v>
      </c>
      <c r="K4" s="1138" t="s">
        <v>570</v>
      </c>
    </row>
    <row r="5" spans="1:11" ht="23.25">
      <c r="A5" s="1138" t="s">
        <v>571</v>
      </c>
      <c r="B5" s="1142" t="s">
        <v>572</v>
      </c>
      <c r="C5" s="230" t="s">
        <v>573</v>
      </c>
      <c r="D5" s="1143" t="s">
        <v>574</v>
      </c>
      <c r="E5" s="1142" t="s">
        <v>572</v>
      </c>
      <c r="F5" s="230" t="s">
        <v>573</v>
      </c>
      <c r="G5" s="1142" t="s">
        <v>574</v>
      </c>
      <c r="H5" s="1142" t="s">
        <v>572</v>
      </c>
      <c r="I5" s="1142" t="s">
        <v>573</v>
      </c>
      <c r="J5" s="1142" t="s">
        <v>574</v>
      </c>
      <c r="K5" s="1138" t="s">
        <v>575</v>
      </c>
    </row>
    <row r="6" spans="1:11" ht="24" thickBot="1">
      <c r="A6" s="1138"/>
      <c r="B6" s="1193" t="s">
        <v>444</v>
      </c>
      <c r="C6" s="233" t="s">
        <v>576</v>
      </c>
      <c r="D6" s="1194" t="s">
        <v>577</v>
      </c>
      <c r="E6" s="1193" t="s">
        <v>444</v>
      </c>
      <c r="F6" s="233" t="s">
        <v>576</v>
      </c>
      <c r="G6" s="1193" t="s">
        <v>577</v>
      </c>
      <c r="H6" s="1193" t="s">
        <v>444</v>
      </c>
      <c r="I6" s="1193" t="s">
        <v>576</v>
      </c>
      <c r="J6" s="1193" t="s">
        <v>577</v>
      </c>
      <c r="K6" s="1138"/>
    </row>
    <row r="7" spans="1:11" s="190" customFormat="1" ht="24" thickBot="1">
      <c r="A7" s="1146" t="s">
        <v>578</v>
      </c>
      <c r="B7" s="1966">
        <f>SUM(B8+B13+B20+B26+B30)</f>
        <v>242.5</v>
      </c>
      <c r="C7" s="261">
        <f>(D7*1000)/B7</f>
        <v>681.6494845360825</v>
      </c>
      <c r="D7" s="1879">
        <f>SUM(D8+D13+D20+D26+D30)</f>
        <v>165.3</v>
      </c>
      <c r="E7" s="224">
        <f>SUM(E8+E13+E20+E26+E30)</f>
        <v>216</v>
      </c>
      <c r="F7" s="261">
        <f>(G7*1000)/E7</f>
        <v>631.9444444444445</v>
      </c>
      <c r="G7" s="1879">
        <f>SUM(G8+G13+G20+G26+G30)</f>
        <v>136.5</v>
      </c>
      <c r="H7" s="224">
        <f>H26</f>
        <v>3</v>
      </c>
      <c r="I7" s="261">
        <f>(J7*1000)/H7</f>
        <v>1000</v>
      </c>
      <c r="J7" s="277">
        <f>J26</f>
        <v>3</v>
      </c>
      <c r="K7" s="1148" t="s">
        <v>579</v>
      </c>
    </row>
    <row r="8" spans="1:11" s="190" customFormat="1" ht="20.25" customHeight="1">
      <c r="A8" s="1149" t="s">
        <v>580</v>
      </c>
      <c r="B8" s="278">
        <f>SUM(B9:B11)</f>
        <v>147</v>
      </c>
      <c r="C8" s="1150">
        <f>(D8*1000)/B8</f>
        <v>517.0068027210884</v>
      </c>
      <c r="D8" s="2448">
        <f>SUM(D9:D11)</f>
        <v>76</v>
      </c>
      <c r="E8" s="278">
        <f>SUM(E9:E11)</f>
        <v>22</v>
      </c>
      <c r="F8" s="1150">
        <f>(G8*1000)/E8</f>
        <v>500</v>
      </c>
      <c r="G8" s="1151">
        <f>SUM(G9:G11)</f>
        <v>11</v>
      </c>
      <c r="H8" s="1152" t="s">
        <v>464</v>
      </c>
      <c r="I8" s="1153" t="s">
        <v>464</v>
      </c>
      <c r="J8" s="1154" t="s">
        <v>464</v>
      </c>
      <c r="K8" s="1155" t="s">
        <v>581</v>
      </c>
    </row>
    <row r="9" spans="1:11" ht="20.25" customHeight="1">
      <c r="A9" s="1156" t="s">
        <v>582</v>
      </c>
      <c r="B9" s="1157">
        <v>6</v>
      </c>
      <c r="C9" s="1499">
        <f>(D9*1000)/B9</f>
        <v>666.6666666666666</v>
      </c>
      <c r="D9" s="1158">
        <v>4</v>
      </c>
      <c r="E9" s="1157">
        <v>15</v>
      </c>
      <c r="F9" s="1161">
        <f>(G9*1000)/E9</f>
        <v>533.3333333333334</v>
      </c>
      <c r="G9" s="1158">
        <v>8</v>
      </c>
      <c r="H9" s="1157" t="s">
        <v>464</v>
      </c>
      <c r="I9" s="1158" t="s">
        <v>464</v>
      </c>
      <c r="J9" s="1159" t="s">
        <v>464</v>
      </c>
      <c r="K9" s="1160" t="s">
        <v>583</v>
      </c>
    </row>
    <row r="10" spans="1:11" ht="20.25" customHeight="1">
      <c r="A10" s="1156" t="s">
        <v>584</v>
      </c>
      <c r="B10" s="1157" t="s">
        <v>464</v>
      </c>
      <c r="C10" s="1158" t="s">
        <v>464</v>
      </c>
      <c r="D10" s="1158" t="s">
        <v>464</v>
      </c>
      <c r="E10" s="1157" t="s">
        <v>464</v>
      </c>
      <c r="F10" s="1158" t="s">
        <v>464</v>
      </c>
      <c r="G10" s="1158" t="s">
        <v>464</v>
      </c>
      <c r="H10" s="1157" t="s">
        <v>464</v>
      </c>
      <c r="I10" s="1158" t="s">
        <v>464</v>
      </c>
      <c r="J10" s="1159" t="s">
        <v>464</v>
      </c>
      <c r="K10" s="1160" t="s">
        <v>584</v>
      </c>
    </row>
    <row r="11" spans="1:11" ht="20.25" customHeight="1">
      <c r="A11" s="2409" t="s">
        <v>585</v>
      </c>
      <c r="B11" s="2410">
        <v>141</v>
      </c>
      <c r="C11" s="1499">
        <f>(D11*1000)/B11</f>
        <v>510.63829787234044</v>
      </c>
      <c r="D11" s="2411">
        <v>72</v>
      </c>
      <c r="E11" s="1157">
        <v>7</v>
      </c>
      <c r="F11" s="1161">
        <f>(G11*1000)/E11</f>
        <v>428.57142857142856</v>
      </c>
      <c r="G11" s="1159">
        <v>3</v>
      </c>
      <c r="H11" s="1157" t="s">
        <v>464</v>
      </c>
      <c r="I11" s="1158" t="s">
        <v>464</v>
      </c>
      <c r="J11" s="1159" t="s">
        <v>464</v>
      </c>
      <c r="K11" s="1160" t="s">
        <v>585</v>
      </c>
    </row>
    <row r="12" spans="1:11" ht="20.25" customHeight="1">
      <c r="A12" s="1156"/>
      <c r="B12" s="240"/>
      <c r="C12" s="1161"/>
      <c r="D12" s="1162"/>
      <c r="E12" s="240"/>
      <c r="F12" s="1161"/>
      <c r="G12" s="1162"/>
      <c r="H12" s="240"/>
      <c r="I12" s="1161"/>
      <c r="J12" s="1162"/>
      <c r="K12" s="1160"/>
    </row>
    <row r="13" spans="1:11" ht="20.25" customHeight="1">
      <c r="A13" s="1163" t="s">
        <v>588</v>
      </c>
      <c r="B13" s="250">
        <f>SUM(B14:B18)</f>
        <v>32</v>
      </c>
      <c r="C13" s="1164">
        <f>(D13*1000)/B13</f>
        <v>1531.25</v>
      </c>
      <c r="D13" s="1165">
        <f>SUM(D14:D18)</f>
        <v>49</v>
      </c>
      <c r="E13" s="2215">
        <f>SUM(E14:E18)</f>
        <v>38</v>
      </c>
      <c r="F13" s="1164">
        <f>(G13*1000)/E13</f>
        <v>578.9473684210526</v>
      </c>
      <c r="G13" s="1165">
        <f>SUM(G14:G18)</f>
        <v>22</v>
      </c>
      <c r="H13" s="1157" t="s">
        <v>464</v>
      </c>
      <c r="I13" s="1158" t="s">
        <v>464</v>
      </c>
      <c r="J13" s="1159" t="s">
        <v>464</v>
      </c>
      <c r="K13" s="1167" t="s">
        <v>589</v>
      </c>
    </row>
    <row r="14" spans="1:11" ht="20.25" customHeight="1">
      <c r="A14" s="1156" t="s">
        <v>590</v>
      </c>
      <c r="B14" s="1157" t="s">
        <v>464</v>
      </c>
      <c r="C14" s="1158" t="s">
        <v>464</v>
      </c>
      <c r="D14" s="1158" t="s">
        <v>464</v>
      </c>
      <c r="E14" s="1157" t="s">
        <v>464</v>
      </c>
      <c r="F14" s="1158" t="s">
        <v>464</v>
      </c>
      <c r="G14" s="1158" t="s">
        <v>464</v>
      </c>
      <c r="H14" s="1157" t="s">
        <v>464</v>
      </c>
      <c r="I14" s="1158" t="s">
        <v>464</v>
      </c>
      <c r="J14" s="1159" t="s">
        <v>464</v>
      </c>
      <c r="K14" s="1160" t="s">
        <v>591</v>
      </c>
    </row>
    <row r="15" spans="1:11" s="190" customFormat="1" ht="20.25" customHeight="1">
      <c r="A15" s="1156" t="s">
        <v>592</v>
      </c>
      <c r="B15" s="1157" t="s">
        <v>464</v>
      </c>
      <c r="C15" s="1158" t="s">
        <v>464</v>
      </c>
      <c r="D15" s="1158" t="s">
        <v>464</v>
      </c>
      <c r="E15" s="2214">
        <v>10</v>
      </c>
      <c r="F15" s="1161">
        <f>(G15*1000)/E15</f>
        <v>500</v>
      </c>
      <c r="G15" s="1158">
        <v>5</v>
      </c>
      <c r="H15" s="1157" t="s">
        <v>464</v>
      </c>
      <c r="I15" s="1158" t="s">
        <v>464</v>
      </c>
      <c r="J15" s="1159" t="s">
        <v>464</v>
      </c>
      <c r="K15" s="1160" t="s">
        <v>593</v>
      </c>
    </row>
    <row r="16" spans="1:11" ht="20.25" customHeight="1">
      <c r="A16" s="1156" t="s">
        <v>594</v>
      </c>
      <c r="B16" s="240">
        <v>10</v>
      </c>
      <c r="C16" s="1161">
        <f>(D16*1000)/B16</f>
        <v>1700</v>
      </c>
      <c r="D16" s="1162">
        <v>17</v>
      </c>
      <c r="E16" s="1157" t="s">
        <v>464</v>
      </c>
      <c r="F16" s="1158" t="s">
        <v>464</v>
      </c>
      <c r="G16" s="1158" t="s">
        <v>464</v>
      </c>
      <c r="H16" s="1157" t="s">
        <v>464</v>
      </c>
      <c r="I16" s="1158" t="s">
        <v>464</v>
      </c>
      <c r="J16" s="1159" t="s">
        <v>464</v>
      </c>
      <c r="K16" s="1160" t="s">
        <v>594</v>
      </c>
    </row>
    <row r="17" spans="1:11" ht="20.25" customHeight="1">
      <c r="A17" s="1156" t="s">
        <v>599</v>
      </c>
      <c r="B17" s="240">
        <v>22</v>
      </c>
      <c r="C17" s="1161">
        <f>(D17*1000)/B17</f>
        <v>1454.5454545454545</v>
      </c>
      <c r="D17" s="1162">
        <v>32</v>
      </c>
      <c r="E17" s="240">
        <v>14</v>
      </c>
      <c r="F17" s="1161">
        <f>(G17*1000)/E17</f>
        <v>642.8571428571429</v>
      </c>
      <c r="G17" s="1162">
        <v>9</v>
      </c>
      <c r="H17" s="1157" t="s">
        <v>464</v>
      </c>
      <c r="I17" s="1158" t="s">
        <v>464</v>
      </c>
      <c r="J17" s="1159" t="s">
        <v>464</v>
      </c>
      <c r="K17" s="1160" t="s">
        <v>599</v>
      </c>
    </row>
    <row r="18" spans="1:11" ht="20.25" customHeight="1">
      <c r="A18" s="1156" t="s">
        <v>598</v>
      </c>
      <c r="B18" s="1157" t="s">
        <v>464</v>
      </c>
      <c r="C18" s="1158" t="s">
        <v>464</v>
      </c>
      <c r="D18" s="1158" t="s">
        <v>464</v>
      </c>
      <c r="E18" s="1157">
        <v>14</v>
      </c>
      <c r="F18" s="1161">
        <f>(G18*1000)/E18</f>
        <v>571.4285714285714</v>
      </c>
      <c r="G18" s="1158">
        <v>8</v>
      </c>
      <c r="H18" s="1157" t="s">
        <v>464</v>
      </c>
      <c r="I18" s="1158" t="s">
        <v>464</v>
      </c>
      <c r="J18" s="1159" t="s">
        <v>464</v>
      </c>
      <c r="K18" s="1160" t="s">
        <v>598</v>
      </c>
    </row>
    <row r="19" spans="1:11" ht="20.25" customHeight="1">
      <c r="A19" s="1169"/>
      <c r="B19" s="1170"/>
      <c r="C19" s="1171"/>
      <c r="D19" s="1172"/>
      <c r="E19" s="1170"/>
      <c r="F19" s="1171"/>
      <c r="G19" s="1172"/>
      <c r="H19" s="1170"/>
      <c r="I19" s="1171"/>
      <c r="J19" s="1172"/>
      <c r="K19" s="1160"/>
    </row>
    <row r="20" spans="1:11" ht="20.25" customHeight="1">
      <c r="A20" s="1163" t="s">
        <v>601</v>
      </c>
      <c r="B20" s="2215">
        <f>SUM(B21:B24)</f>
        <v>55.5</v>
      </c>
      <c r="C20" s="1164">
        <f>(D20*1000)/B20</f>
        <v>627.027027027027</v>
      </c>
      <c r="D20" s="1166">
        <f>SUM(D21:D24)</f>
        <v>34.8</v>
      </c>
      <c r="E20" s="250">
        <f>SUM(E21:E24)</f>
        <v>113</v>
      </c>
      <c r="F20" s="1164">
        <f>(G20*1000)/E20</f>
        <v>632.7433628318585</v>
      </c>
      <c r="G20" s="1166">
        <f>SUM(G21:G24)</f>
        <v>71.5</v>
      </c>
      <c r="H20" s="1157" t="s">
        <v>464</v>
      </c>
      <c r="I20" s="1158" t="s">
        <v>464</v>
      </c>
      <c r="J20" s="1159" t="s">
        <v>464</v>
      </c>
      <c r="K20" s="1167" t="s">
        <v>602</v>
      </c>
    </row>
    <row r="21" spans="1:11" ht="20.25" customHeight="1">
      <c r="A21" s="1156" t="s">
        <v>603</v>
      </c>
      <c r="B21" s="1157" t="s">
        <v>464</v>
      </c>
      <c r="C21" s="1158" t="s">
        <v>464</v>
      </c>
      <c r="D21" s="1158" t="s">
        <v>464</v>
      </c>
      <c r="E21" s="1157" t="s">
        <v>464</v>
      </c>
      <c r="F21" s="1158" t="s">
        <v>464</v>
      </c>
      <c r="G21" s="1158" t="s">
        <v>464</v>
      </c>
      <c r="H21" s="1157" t="s">
        <v>464</v>
      </c>
      <c r="I21" s="1158" t="s">
        <v>464</v>
      </c>
      <c r="J21" s="1159" t="s">
        <v>464</v>
      </c>
      <c r="K21" s="1160" t="s">
        <v>604</v>
      </c>
    </row>
    <row r="22" spans="1:11" ht="20.25" customHeight="1">
      <c r="A22" s="1156" t="s">
        <v>605</v>
      </c>
      <c r="B22" s="1157" t="s">
        <v>464</v>
      </c>
      <c r="C22" s="1158" t="s">
        <v>464</v>
      </c>
      <c r="D22" s="1158" t="s">
        <v>464</v>
      </c>
      <c r="E22" s="240">
        <v>21</v>
      </c>
      <c r="F22" s="1161">
        <f>(G22*1000)/E22</f>
        <v>714.2857142857143</v>
      </c>
      <c r="G22" s="1162">
        <v>15</v>
      </c>
      <c r="H22" s="1157" t="s">
        <v>464</v>
      </c>
      <c r="I22" s="1158" t="s">
        <v>464</v>
      </c>
      <c r="J22" s="1159" t="s">
        <v>464</v>
      </c>
      <c r="K22" s="1160" t="s">
        <v>606</v>
      </c>
    </row>
    <row r="23" spans="1:11" ht="20.25" customHeight="1">
      <c r="A23" s="1156" t="s">
        <v>607</v>
      </c>
      <c r="B23" s="2214">
        <v>24.5</v>
      </c>
      <c r="C23" s="1161">
        <f>(D23*1000)/B23</f>
        <v>612.2448979591836</v>
      </c>
      <c r="D23" s="1168">
        <v>15</v>
      </c>
      <c r="E23" s="240">
        <v>22</v>
      </c>
      <c r="F23" s="1161">
        <f>(G23*1000)/E23</f>
        <v>522.7272727272727</v>
      </c>
      <c r="G23" s="1168">
        <v>11.5</v>
      </c>
      <c r="H23" s="1157" t="s">
        <v>464</v>
      </c>
      <c r="I23" s="1158" t="s">
        <v>464</v>
      </c>
      <c r="J23" s="1159" t="s">
        <v>464</v>
      </c>
      <c r="K23" s="1160" t="s">
        <v>607</v>
      </c>
    </row>
    <row r="24" spans="1:11" ht="20.25" customHeight="1">
      <c r="A24" s="1156" t="s">
        <v>608</v>
      </c>
      <c r="B24" s="240">
        <v>31</v>
      </c>
      <c r="C24" s="1161">
        <f>(D24*1000)/B24</f>
        <v>638.7096774193549</v>
      </c>
      <c r="D24" s="1168">
        <v>19.8</v>
      </c>
      <c r="E24" s="240">
        <v>70</v>
      </c>
      <c r="F24" s="1161">
        <f>(G24*1000)/E24</f>
        <v>642.8571428571429</v>
      </c>
      <c r="G24" s="1162">
        <v>45</v>
      </c>
      <c r="H24" s="1157" t="s">
        <v>464</v>
      </c>
      <c r="I24" s="1158" t="s">
        <v>464</v>
      </c>
      <c r="J24" s="1159" t="s">
        <v>464</v>
      </c>
      <c r="K24" s="1160" t="s">
        <v>608</v>
      </c>
    </row>
    <row r="25" spans="1:11" s="190" customFormat="1" ht="20.25" customHeight="1">
      <c r="A25" s="1174"/>
      <c r="B25" s="1175"/>
      <c r="C25" s="1176"/>
      <c r="D25" s="1177"/>
      <c r="E25" s="1175"/>
      <c r="F25" s="1176"/>
      <c r="G25" s="1177"/>
      <c r="H25" s="1175"/>
      <c r="I25" s="1176"/>
      <c r="J25" s="1177"/>
      <c r="K25" s="1178"/>
    </row>
    <row r="26" spans="1:11" ht="20.25" customHeight="1">
      <c r="A26" s="1174" t="s">
        <v>1286</v>
      </c>
      <c r="B26" s="1175">
        <f>SUM(B27:B28)</f>
        <v>5</v>
      </c>
      <c r="C26" s="1164">
        <f>(D26*1000)/B26</f>
        <v>800</v>
      </c>
      <c r="D26" s="1177">
        <f>SUM(D27:D28)</f>
        <v>4</v>
      </c>
      <c r="E26" s="1175">
        <f>SUM(E27:E28)</f>
        <v>18</v>
      </c>
      <c r="F26" s="1164">
        <f>(G26*1000)/E26</f>
        <v>1055.5555555555557</v>
      </c>
      <c r="G26" s="1177">
        <f>SUM(G27:G28)</f>
        <v>19</v>
      </c>
      <c r="H26" s="1175">
        <f>SUM(H27:H28)</f>
        <v>3</v>
      </c>
      <c r="I26" s="1164">
        <f>(J26*1000)/H26</f>
        <v>1000</v>
      </c>
      <c r="J26" s="1177">
        <f>SUM(J27:J28)</f>
        <v>3</v>
      </c>
      <c r="K26" s="1167" t="s">
        <v>1286</v>
      </c>
    </row>
    <row r="27" spans="1:11" ht="20.25" customHeight="1">
      <c r="A27" s="1169" t="s">
        <v>586</v>
      </c>
      <c r="B27" s="1157" t="s">
        <v>464</v>
      </c>
      <c r="C27" s="1158" t="s">
        <v>464</v>
      </c>
      <c r="D27" s="1158" t="s">
        <v>464</v>
      </c>
      <c r="E27" s="1170">
        <v>6</v>
      </c>
      <c r="F27" s="1161">
        <f>(G27*1000)/E27</f>
        <v>666.6666666666666</v>
      </c>
      <c r="G27" s="1172">
        <v>4</v>
      </c>
      <c r="H27" s="1157" t="s">
        <v>464</v>
      </c>
      <c r="I27" s="1158" t="s">
        <v>464</v>
      </c>
      <c r="J27" s="1159" t="s">
        <v>464</v>
      </c>
      <c r="K27" s="1160" t="s">
        <v>586</v>
      </c>
    </row>
    <row r="28" spans="1:11" ht="20.25" customHeight="1">
      <c r="A28" s="1169" t="s">
        <v>587</v>
      </c>
      <c r="B28" s="1170">
        <v>5</v>
      </c>
      <c r="C28" s="1161">
        <f>(D28*1000)/B28</f>
        <v>800</v>
      </c>
      <c r="D28" s="1172">
        <v>4</v>
      </c>
      <c r="E28" s="1170">
        <v>12</v>
      </c>
      <c r="F28" s="1161">
        <f>(G28*1000)/E28</f>
        <v>1250</v>
      </c>
      <c r="G28" s="1172">
        <v>15</v>
      </c>
      <c r="H28" s="1170">
        <v>3</v>
      </c>
      <c r="I28" s="1161">
        <f>(J28*1000)/H28</f>
        <v>1000</v>
      </c>
      <c r="J28" s="1172">
        <v>3</v>
      </c>
      <c r="K28" s="1160" t="s">
        <v>587</v>
      </c>
    </row>
    <row r="29" spans="1:11" ht="20.25" customHeight="1">
      <c r="A29" s="1169"/>
      <c r="B29" s="1170"/>
      <c r="C29" s="1171"/>
      <c r="D29" s="1172"/>
      <c r="E29" s="1170"/>
      <c r="F29" s="1171"/>
      <c r="G29" s="1172"/>
      <c r="H29" s="1170"/>
      <c r="I29" s="1171"/>
      <c r="J29" s="1172"/>
      <c r="K29" s="1160"/>
    </row>
    <row r="30" spans="1:11" ht="20.25" customHeight="1">
      <c r="A30" s="1174" t="s">
        <v>1287</v>
      </c>
      <c r="B30" s="1175">
        <f>SUM(B31:B33)</f>
        <v>3</v>
      </c>
      <c r="C30" s="1164">
        <f>(D30*1000)/B30</f>
        <v>500</v>
      </c>
      <c r="D30" s="2216">
        <f>SUM(D31:D33)</f>
        <v>1.5</v>
      </c>
      <c r="E30" s="1175">
        <f>SUM(E31:E33)</f>
        <v>25</v>
      </c>
      <c r="F30" s="1164">
        <f>(G30*1000)/E30</f>
        <v>520</v>
      </c>
      <c r="G30" s="1177">
        <f>SUM(G31:G33)</f>
        <v>13</v>
      </c>
      <c r="H30" s="1157" t="s">
        <v>464</v>
      </c>
      <c r="I30" s="1158" t="s">
        <v>464</v>
      </c>
      <c r="J30" s="1159" t="s">
        <v>464</v>
      </c>
      <c r="K30" s="1167" t="s">
        <v>1287</v>
      </c>
    </row>
    <row r="31" spans="1:11" ht="20.25" customHeight="1">
      <c r="A31" s="1169" t="s">
        <v>1273</v>
      </c>
      <c r="B31" s="1170">
        <v>3</v>
      </c>
      <c r="C31" s="1161">
        <f>(D31*1000)/B31</f>
        <v>500</v>
      </c>
      <c r="D31" s="2217">
        <v>1.5</v>
      </c>
      <c r="E31" s="1170">
        <v>10</v>
      </c>
      <c r="F31" s="1161">
        <f>(G31*1000)/E31</f>
        <v>500</v>
      </c>
      <c r="G31" s="1172">
        <v>5</v>
      </c>
      <c r="H31" s="1157" t="s">
        <v>464</v>
      </c>
      <c r="I31" s="1158" t="s">
        <v>464</v>
      </c>
      <c r="J31" s="1159" t="s">
        <v>464</v>
      </c>
      <c r="K31" s="1160" t="s">
        <v>1273</v>
      </c>
    </row>
    <row r="32" spans="1:11" ht="20.25" customHeight="1">
      <c r="A32" s="1169" t="s">
        <v>596</v>
      </c>
      <c r="B32" s="1157" t="s">
        <v>464</v>
      </c>
      <c r="C32" s="1158" t="s">
        <v>464</v>
      </c>
      <c r="D32" s="1158" t="s">
        <v>464</v>
      </c>
      <c r="E32" s="1157">
        <v>10</v>
      </c>
      <c r="F32" s="1161">
        <f>(G32*1000)/E32</f>
        <v>600</v>
      </c>
      <c r="G32" s="1158">
        <v>6</v>
      </c>
      <c r="H32" s="1157" t="s">
        <v>464</v>
      </c>
      <c r="I32" s="1158" t="s">
        <v>464</v>
      </c>
      <c r="J32" s="1159" t="s">
        <v>464</v>
      </c>
      <c r="K32" s="1160" t="s">
        <v>596</v>
      </c>
    </row>
    <row r="33" spans="1:11" ht="20.25" customHeight="1" thickBot="1">
      <c r="A33" s="1180" t="s">
        <v>595</v>
      </c>
      <c r="B33" s="1183" t="s">
        <v>464</v>
      </c>
      <c r="C33" s="1236" t="s">
        <v>464</v>
      </c>
      <c r="D33" s="1236" t="s">
        <v>464</v>
      </c>
      <c r="E33" s="254">
        <v>5</v>
      </c>
      <c r="F33" s="1181">
        <f>(G33*1000)/E33</f>
        <v>400</v>
      </c>
      <c r="G33" s="1182">
        <v>2</v>
      </c>
      <c r="H33" s="1183" t="s">
        <v>464</v>
      </c>
      <c r="I33" s="1236" t="s">
        <v>464</v>
      </c>
      <c r="J33" s="1185" t="s">
        <v>464</v>
      </c>
      <c r="K33" s="1186" t="s">
        <v>595</v>
      </c>
    </row>
    <row r="34" spans="1:11" ht="23.25">
      <c r="A34" s="1187"/>
      <c r="B34" s="111"/>
      <c r="C34" s="111"/>
      <c r="D34" s="111"/>
      <c r="E34" s="111"/>
      <c r="F34" s="111"/>
      <c r="G34" s="111"/>
      <c r="H34" s="111"/>
      <c r="I34" s="111"/>
      <c r="J34" s="111"/>
      <c r="K34" s="1188"/>
    </row>
    <row r="35" spans="1:11" ht="24" thickBot="1">
      <c r="A35" s="1129"/>
      <c r="B35" s="1129"/>
      <c r="C35" s="221"/>
      <c r="D35" s="1130"/>
      <c r="E35" s="1129"/>
      <c r="F35" s="221"/>
      <c r="G35" s="1129"/>
      <c r="H35" s="1129"/>
      <c r="I35" s="1129"/>
      <c r="J35" s="1129"/>
      <c r="K35" s="1131"/>
    </row>
    <row r="36" spans="1:11" ht="24" thickBot="1">
      <c r="A36" s="1132"/>
      <c r="B36" s="1097" t="s">
        <v>674</v>
      </c>
      <c r="C36" s="225"/>
      <c r="D36" s="1237"/>
      <c r="E36" s="1238"/>
      <c r="F36" s="225"/>
      <c r="G36" s="1239"/>
      <c r="H36" s="1238"/>
      <c r="I36" s="1240"/>
      <c r="J36" s="1240"/>
      <c r="K36" s="1192"/>
    </row>
    <row r="37" spans="1:11" ht="23.25">
      <c r="A37" s="1138" t="s">
        <v>566</v>
      </c>
      <c r="B37" s="1139" t="s">
        <v>675</v>
      </c>
      <c r="C37" s="275" t="s">
        <v>568</v>
      </c>
      <c r="D37" s="1140" t="s">
        <v>569</v>
      </c>
      <c r="E37" s="1139"/>
      <c r="F37" s="275"/>
      <c r="G37" s="1139"/>
      <c r="H37" s="1139"/>
      <c r="I37" s="1139"/>
      <c r="J37" s="1139"/>
      <c r="K37" s="1142" t="s">
        <v>570</v>
      </c>
    </row>
    <row r="38" spans="1:11" ht="23.25">
      <c r="A38" s="1138" t="s">
        <v>571</v>
      </c>
      <c r="B38" s="1142" t="s">
        <v>676</v>
      </c>
      <c r="C38" s="230" t="s">
        <v>573</v>
      </c>
      <c r="D38" s="1143" t="s">
        <v>574</v>
      </c>
      <c r="E38" s="1193"/>
      <c r="F38" s="233"/>
      <c r="G38" s="1193"/>
      <c r="H38" s="1193"/>
      <c r="I38" s="1193"/>
      <c r="J38" s="1193"/>
      <c r="K38" s="1142" t="s">
        <v>575</v>
      </c>
    </row>
    <row r="39" spans="1:11" ht="24" thickBot="1">
      <c r="A39" s="1138"/>
      <c r="B39" s="1193"/>
      <c r="C39" s="535" t="s">
        <v>661</v>
      </c>
      <c r="D39" s="1194" t="s">
        <v>577</v>
      </c>
      <c r="E39" s="1193"/>
      <c r="F39" s="233"/>
      <c r="G39" s="1193"/>
      <c r="H39" s="1193"/>
      <c r="I39" s="1193"/>
      <c r="J39" s="1193"/>
      <c r="K39" s="1142"/>
    </row>
    <row r="40" spans="1:11" s="190" customFormat="1" ht="24" thickBot="1">
      <c r="A40" s="1146" t="s">
        <v>578</v>
      </c>
      <c r="B40" s="224">
        <f>SUM(B41+B46+B53+B59+B63)</f>
        <v>19725</v>
      </c>
      <c r="C40" s="261">
        <f>(D40*1000)/B40</f>
        <v>73.3637515842839</v>
      </c>
      <c r="D40" s="1879">
        <f>SUM(D41+D46+D53+D59+D63)</f>
        <v>1447.1</v>
      </c>
      <c r="E40" s="224"/>
      <c r="F40" s="261"/>
      <c r="G40" s="277"/>
      <c r="H40" s="224"/>
      <c r="I40" s="261"/>
      <c r="J40" s="277"/>
      <c r="K40" s="1148" t="s">
        <v>579</v>
      </c>
    </row>
    <row r="41" spans="1:11" s="190" customFormat="1" ht="20.25" customHeight="1">
      <c r="A41" s="1149" t="s">
        <v>580</v>
      </c>
      <c r="B41" s="278">
        <f>SUM(B42:B44)</f>
        <v>2373</v>
      </c>
      <c r="C41" s="1150">
        <f>(D41*1000)/B41</f>
        <v>62.368310155920774</v>
      </c>
      <c r="D41" s="1151">
        <f>SUM(D42:D44)</f>
        <v>148</v>
      </c>
      <c r="E41" s="278"/>
      <c r="F41" s="1150"/>
      <c r="G41" s="1151"/>
      <c r="H41" s="278"/>
      <c r="I41" s="1150"/>
      <c r="J41" s="1151"/>
      <c r="K41" s="1155" t="s">
        <v>581</v>
      </c>
    </row>
    <row r="42" spans="1:11" ht="20.25" customHeight="1">
      <c r="A42" s="1156" t="s">
        <v>582</v>
      </c>
      <c r="B42" s="2420">
        <v>850</v>
      </c>
      <c r="C42" s="641">
        <f>(D42*1000)/B42</f>
        <v>78.82352941176471</v>
      </c>
      <c r="D42" s="2420">
        <v>67</v>
      </c>
      <c r="E42" s="1198"/>
      <c r="F42" s="1179"/>
      <c r="G42" s="1199"/>
      <c r="H42" s="1198"/>
      <c r="I42" s="1179"/>
      <c r="J42" s="1199"/>
      <c r="K42" s="1160" t="s">
        <v>583</v>
      </c>
    </row>
    <row r="43" spans="1:11" ht="20.25" customHeight="1">
      <c r="A43" s="1156" t="s">
        <v>584</v>
      </c>
      <c r="B43" s="2420">
        <v>1058</v>
      </c>
      <c r="C43" s="641">
        <f>(D43*1000)/B43</f>
        <v>52.93005671077505</v>
      </c>
      <c r="D43" s="2420">
        <v>56</v>
      </c>
      <c r="E43" s="1198"/>
      <c r="F43" s="1179"/>
      <c r="G43" s="1199"/>
      <c r="H43" s="1198"/>
      <c r="I43" s="1179"/>
      <c r="J43" s="1199"/>
      <c r="K43" s="1160" t="s">
        <v>584</v>
      </c>
    </row>
    <row r="44" spans="1:11" ht="20.25" customHeight="1">
      <c r="A44" s="1156" t="s">
        <v>585</v>
      </c>
      <c r="B44" s="1157">
        <v>465</v>
      </c>
      <c r="C44" s="1161">
        <f>(D44*1000)/B44</f>
        <v>53.763440860215056</v>
      </c>
      <c r="D44" s="1159">
        <v>25</v>
      </c>
      <c r="E44" s="1198"/>
      <c r="F44" s="1179"/>
      <c r="G44" s="1199"/>
      <c r="H44" s="1198"/>
      <c r="I44" s="1179"/>
      <c r="J44" s="1199"/>
      <c r="K44" s="1160" t="s">
        <v>585</v>
      </c>
    </row>
    <row r="45" spans="1:11" ht="20.25" customHeight="1">
      <c r="A45" s="1156"/>
      <c r="B45" s="240"/>
      <c r="C45" s="1161"/>
      <c r="D45" s="1162"/>
      <c r="E45" s="240"/>
      <c r="F45" s="1161"/>
      <c r="G45" s="1162"/>
      <c r="H45" s="240"/>
      <c r="I45" s="1161"/>
      <c r="J45" s="1162"/>
      <c r="K45" s="1160"/>
    </row>
    <row r="46" spans="1:11" ht="20.25" customHeight="1">
      <c r="A46" s="1163" t="s">
        <v>588</v>
      </c>
      <c r="B46" s="250">
        <f>SUM(B47:B51)</f>
        <v>3037</v>
      </c>
      <c r="C46" s="1164">
        <f>(D46*1000)/B46</f>
        <v>55.97629239380968</v>
      </c>
      <c r="D46" s="1166">
        <f>SUM(D47:D51)</f>
        <v>170</v>
      </c>
      <c r="E46" s="250"/>
      <c r="F46" s="1164"/>
      <c r="G46" s="1165"/>
      <c r="H46" s="250"/>
      <c r="I46" s="1164"/>
      <c r="J46" s="1165"/>
      <c r="K46" s="1167" t="s">
        <v>589</v>
      </c>
    </row>
    <row r="47" spans="1:11" ht="20.25" customHeight="1">
      <c r="A47" s="1156" t="s">
        <v>590</v>
      </c>
      <c r="B47" s="240">
        <v>2360</v>
      </c>
      <c r="C47" s="1161">
        <f>(D47*1000)/B47</f>
        <v>50.42372881355932</v>
      </c>
      <c r="D47" s="1162">
        <v>119</v>
      </c>
      <c r="E47" s="240"/>
      <c r="F47" s="1161"/>
      <c r="G47" s="1162"/>
      <c r="H47" s="240"/>
      <c r="I47" s="1161"/>
      <c r="J47" s="1162"/>
      <c r="K47" s="1160" t="s">
        <v>591</v>
      </c>
    </row>
    <row r="48" spans="1:11" s="190" customFormat="1" ht="20.25" customHeight="1">
      <c r="A48" s="1156" t="s">
        <v>592</v>
      </c>
      <c r="B48" s="240">
        <v>102</v>
      </c>
      <c r="C48" s="1161">
        <f>(D48*1000)/B48</f>
        <v>58.8235294117647</v>
      </c>
      <c r="D48" s="1168">
        <v>6</v>
      </c>
      <c r="E48" s="240"/>
      <c r="F48" s="1161"/>
      <c r="G48" s="1162"/>
      <c r="H48" s="240"/>
      <c r="I48" s="1161"/>
      <c r="J48" s="1162"/>
      <c r="K48" s="1160" t="s">
        <v>593</v>
      </c>
    </row>
    <row r="49" spans="1:11" ht="20.25" customHeight="1">
      <c r="A49" s="1156" t="s">
        <v>594</v>
      </c>
      <c r="B49" s="240">
        <v>575</v>
      </c>
      <c r="C49" s="1161">
        <f>(D49*1000)/B49</f>
        <v>78.26086956521739</v>
      </c>
      <c r="D49" s="1162">
        <v>45</v>
      </c>
      <c r="E49" s="240"/>
      <c r="F49" s="1161"/>
      <c r="G49" s="1162"/>
      <c r="H49" s="240"/>
      <c r="I49" s="1161"/>
      <c r="J49" s="1162"/>
      <c r="K49" s="1160" t="s">
        <v>594</v>
      </c>
    </row>
    <row r="50" spans="1:11" ht="20.25" customHeight="1">
      <c r="A50" s="1156" t="s">
        <v>599</v>
      </c>
      <c r="B50" s="1157" t="s">
        <v>464</v>
      </c>
      <c r="C50" s="1158" t="s">
        <v>464</v>
      </c>
      <c r="D50" s="1158" t="s">
        <v>464</v>
      </c>
      <c r="E50" s="240"/>
      <c r="F50" s="1161"/>
      <c r="G50" s="1162"/>
      <c r="H50" s="240"/>
      <c r="I50" s="1161"/>
      <c r="J50" s="1162"/>
      <c r="K50" s="1160" t="s">
        <v>599</v>
      </c>
    </row>
    <row r="51" spans="1:11" ht="20.25" customHeight="1">
      <c r="A51" s="1156" t="s">
        <v>598</v>
      </c>
      <c r="B51" s="1157" t="s">
        <v>464</v>
      </c>
      <c r="C51" s="1158" t="s">
        <v>464</v>
      </c>
      <c r="D51" s="1158" t="s">
        <v>464</v>
      </c>
      <c r="E51" s="240"/>
      <c r="F51" s="1161"/>
      <c r="G51" s="1162"/>
      <c r="H51" s="240"/>
      <c r="I51" s="1161"/>
      <c r="J51" s="1162"/>
      <c r="K51" s="1160" t="s">
        <v>598</v>
      </c>
    </row>
    <row r="52" spans="1:11" ht="20.25" customHeight="1">
      <c r="A52" s="1169"/>
      <c r="B52" s="1170"/>
      <c r="C52" s="1171"/>
      <c r="D52" s="1172"/>
      <c r="E52" s="1170"/>
      <c r="F52" s="1171"/>
      <c r="G52" s="1172"/>
      <c r="H52" s="1170"/>
      <c r="I52" s="1171"/>
      <c r="J52" s="1172"/>
      <c r="K52" s="1160"/>
    </row>
    <row r="53" spans="1:11" ht="20.25" customHeight="1">
      <c r="A53" s="1163" t="s">
        <v>601</v>
      </c>
      <c r="B53" s="250">
        <f>SUM(B54:B57)</f>
        <v>4379</v>
      </c>
      <c r="C53" s="1164">
        <f>(D53*1000)/B53</f>
        <v>70.47271066453528</v>
      </c>
      <c r="D53" s="1166">
        <f>SUM(D54:D57)</f>
        <v>308.6</v>
      </c>
      <c r="E53" s="250"/>
      <c r="F53" s="1164"/>
      <c r="G53" s="1165"/>
      <c r="H53" s="250"/>
      <c r="I53" s="1164"/>
      <c r="J53" s="1165"/>
      <c r="K53" s="1167" t="s">
        <v>602</v>
      </c>
    </row>
    <row r="54" spans="1:11" ht="20.25" customHeight="1">
      <c r="A54" s="1156" t="s">
        <v>603</v>
      </c>
      <c r="B54" s="1173">
        <v>1320</v>
      </c>
      <c r="C54" s="1161">
        <f>(D54*1000)/B54</f>
        <v>87.12121212121212</v>
      </c>
      <c r="D54" s="1162">
        <v>115</v>
      </c>
      <c r="E54" s="1173"/>
      <c r="F54" s="1161"/>
      <c r="G54" s="1162"/>
      <c r="H54" s="1173"/>
      <c r="I54" s="1161"/>
      <c r="J54" s="1162"/>
      <c r="K54" s="1160" t="s">
        <v>604</v>
      </c>
    </row>
    <row r="55" spans="1:11" ht="20.25" customHeight="1">
      <c r="A55" s="1156" t="s">
        <v>605</v>
      </c>
      <c r="B55" s="240">
        <v>2496</v>
      </c>
      <c r="C55" s="1161">
        <f>(D55*1000)/B55</f>
        <v>66.10576923076923</v>
      </c>
      <c r="D55" s="1162">
        <v>165</v>
      </c>
      <c r="E55" s="240"/>
      <c r="F55" s="1161"/>
      <c r="G55" s="1162"/>
      <c r="H55" s="240"/>
      <c r="I55" s="1161"/>
      <c r="J55" s="1162"/>
      <c r="K55" s="1160" t="s">
        <v>606</v>
      </c>
    </row>
    <row r="56" spans="1:11" ht="20.25" customHeight="1">
      <c r="A56" s="1156" t="s">
        <v>607</v>
      </c>
      <c r="B56" s="240">
        <v>108</v>
      </c>
      <c r="C56" s="1161">
        <f>(D56*1000)/B56</f>
        <v>33.333333333333336</v>
      </c>
      <c r="D56" s="1168">
        <v>3.6</v>
      </c>
      <c r="E56" s="240"/>
      <c r="F56" s="1161"/>
      <c r="G56" s="1162"/>
      <c r="H56" s="240"/>
      <c r="I56" s="1161"/>
      <c r="J56" s="1162"/>
      <c r="K56" s="1160" t="s">
        <v>607</v>
      </c>
    </row>
    <row r="57" spans="1:11" ht="20.25" customHeight="1">
      <c r="A57" s="1156" t="s">
        <v>608</v>
      </c>
      <c r="B57" s="240">
        <v>455</v>
      </c>
      <c r="C57" s="1161">
        <f>(D57*1000)/B57</f>
        <v>54.94505494505494</v>
      </c>
      <c r="D57" s="1168">
        <v>25</v>
      </c>
      <c r="E57" s="240"/>
      <c r="F57" s="1161"/>
      <c r="G57" s="1162"/>
      <c r="H57" s="240"/>
      <c r="I57" s="1161"/>
      <c r="J57" s="1162"/>
      <c r="K57" s="1160" t="s">
        <v>608</v>
      </c>
    </row>
    <row r="58" spans="1:11" s="190" customFormat="1" ht="20.25" customHeight="1">
      <c r="A58" s="1174"/>
      <c r="B58" s="1175"/>
      <c r="C58" s="1176"/>
      <c r="D58" s="1177"/>
      <c r="E58" s="1175"/>
      <c r="F58" s="1176"/>
      <c r="G58" s="1177"/>
      <c r="H58" s="1175"/>
      <c r="I58" s="1176"/>
      <c r="J58" s="1177"/>
      <c r="K58" s="1178"/>
    </row>
    <row r="59" spans="1:11" ht="20.25" customHeight="1">
      <c r="A59" s="1174" t="s">
        <v>1286</v>
      </c>
      <c r="B59" s="250">
        <f>SUM(B60:B61)</f>
        <v>9934</v>
      </c>
      <c r="C59" s="1164">
        <f>(D59*1000)/B59</f>
        <v>82.54479565129857</v>
      </c>
      <c r="D59" s="1177">
        <f>SUM(D60:D61)</f>
        <v>820</v>
      </c>
      <c r="E59" s="1175"/>
      <c r="F59" s="1164"/>
      <c r="G59" s="1177"/>
      <c r="H59" s="1175"/>
      <c r="I59" s="1164"/>
      <c r="J59" s="1177"/>
      <c r="K59" s="1167" t="s">
        <v>1286</v>
      </c>
    </row>
    <row r="60" spans="1:11" ht="20.25" customHeight="1">
      <c r="A60" s="1169" t="s">
        <v>586</v>
      </c>
      <c r="B60" s="240">
        <v>2750</v>
      </c>
      <c r="C60" s="1161">
        <f>(D60*1000)/B60</f>
        <v>81.81818181818181</v>
      </c>
      <c r="D60" s="1172">
        <v>225</v>
      </c>
      <c r="E60" s="1170"/>
      <c r="F60" s="1171"/>
      <c r="G60" s="1172"/>
      <c r="H60" s="1170"/>
      <c r="I60" s="1171"/>
      <c r="J60" s="1172"/>
      <c r="K60" s="1160" t="s">
        <v>586</v>
      </c>
    </row>
    <row r="61" spans="1:11" ht="20.25" customHeight="1">
      <c r="A61" s="1169" t="s">
        <v>587</v>
      </c>
      <c r="B61" s="240">
        <v>7184</v>
      </c>
      <c r="C61" s="1161">
        <f>(D61*1000)/B61</f>
        <v>82.82293986636971</v>
      </c>
      <c r="D61" s="1172">
        <v>595</v>
      </c>
      <c r="E61" s="1170"/>
      <c r="F61" s="1171"/>
      <c r="G61" s="1172"/>
      <c r="H61" s="1170"/>
      <c r="I61" s="1171"/>
      <c r="J61" s="1172"/>
      <c r="K61" s="1160" t="s">
        <v>587</v>
      </c>
    </row>
    <row r="62" spans="1:11" ht="20.25" customHeight="1">
      <c r="A62" s="1169"/>
      <c r="B62" s="1170"/>
      <c r="C62" s="1171"/>
      <c r="D62" s="1172"/>
      <c r="E62" s="1170"/>
      <c r="F62" s="1171"/>
      <c r="G62" s="1172"/>
      <c r="H62" s="1170"/>
      <c r="I62" s="1171"/>
      <c r="J62" s="1172"/>
      <c r="K62" s="1160"/>
    </row>
    <row r="63" spans="1:11" ht="20.25" customHeight="1">
      <c r="A63" s="1174" t="s">
        <v>1287</v>
      </c>
      <c r="B63" s="1198">
        <f>SUM(B64:B66)</f>
        <v>2</v>
      </c>
      <c r="C63" s="1164">
        <f>(D63*1000)/B63</f>
        <v>250</v>
      </c>
      <c r="D63" s="1179">
        <f>SUM(D64:D66)</f>
        <v>0.5</v>
      </c>
      <c r="E63" s="1175"/>
      <c r="F63" s="1164"/>
      <c r="G63" s="1177"/>
      <c r="H63" s="1175"/>
      <c r="I63" s="1164"/>
      <c r="J63" s="1177"/>
      <c r="K63" s="1167" t="s">
        <v>1287</v>
      </c>
    </row>
    <row r="64" spans="1:11" ht="20.25" customHeight="1">
      <c r="A64" s="1169" t="s">
        <v>1273</v>
      </c>
      <c r="B64" s="1157">
        <v>2</v>
      </c>
      <c r="C64" s="1161">
        <f>(D64*1000)/B64</f>
        <v>250</v>
      </c>
      <c r="D64" s="1158">
        <v>0.5</v>
      </c>
      <c r="E64" s="1170"/>
      <c r="F64" s="1171"/>
      <c r="G64" s="1172"/>
      <c r="H64" s="1170"/>
      <c r="I64" s="1171"/>
      <c r="J64" s="1172"/>
      <c r="K64" s="1160" t="s">
        <v>1273</v>
      </c>
    </row>
    <row r="65" spans="1:11" ht="20.25" customHeight="1">
      <c r="A65" s="1169" t="s">
        <v>596</v>
      </c>
      <c r="B65" s="1157" t="s">
        <v>464</v>
      </c>
      <c r="C65" s="1158" t="s">
        <v>464</v>
      </c>
      <c r="D65" s="1158" t="s">
        <v>464</v>
      </c>
      <c r="E65" s="1170"/>
      <c r="F65" s="1171"/>
      <c r="G65" s="1172"/>
      <c r="H65" s="1170"/>
      <c r="I65" s="1171"/>
      <c r="J65" s="1172"/>
      <c r="K65" s="1160" t="s">
        <v>596</v>
      </c>
    </row>
    <row r="66" spans="1:11" ht="20.25" customHeight="1" thickBot="1">
      <c r="A66" s="1180" t="s">
        <v>595</v>
      </c>
      <c r="B66" s="1183" t="s">
        <v>464</v>
      </c>
      <c r="C66" s="1236" t="s">
        <v>464</v>
      </c>
      <c r="D66" s="1236" t="s">
        <v>464</v>
      </c>
      <c r="E66" s="254"/>
      <c r="F66" s="255"/>
      <c r="G66" s="1182"/>
      <c r="H66" s="254"/>
      <c r="I66" s="255"/>
      <c r="J66" s="1182"/>
      <c r="K66" s="1186" t="s">
        <v>595</v>
      </c>
    </row>
  </sheetData>
  <sheetProtection/>
  <printOptions/>
  <pageMargins left="0.85" right="0.984251968503937" top="0.984251968503937" bottom="0.984251968503937" header="0.5118110236220472" footer="0.5118110236220472"/>
  <pageSetup horizontalDpi="300" verticalDpi="3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66"/>
  <sheetViews>
    <sheetView zoomScale="62" zoomScaleNormal="62" zoomScalePageLayoutView="0" workbookViewId="0" topLeftCell="A1">
      <selection activeCell="J67" sqref="J67"/>
    </sheetView>
  </sheetViews>
  <sheetFormatPr defaultColWidth="9.7109375" defaultRowHeight="12.75"/>
  <cols>
    <col min="1" max="1" width="25.7109375" style="409" customWidth="1"/>
    <col min="2" max="2" width="11.8515625" style="409" customWidth="1"/>
    <col min="3" max="3" width="11.421875" style="409" customWidth="1"/>
    <col min="4" max="4" width="17.28125" style="409" customWidth="1"/>
    <col min="5" max="5" width="10.57421875" style="409" customWidth="1"/>
    <col min="6" max="6" width="13.421875" style="409" customWidth="1"/>
    <col min="7" max="7" width="16.57421875" style="409" customWidth="1"/>
    <col min="8" max="8" width="12.421875" style="409" customWidth="1"/>
    <col min="9" max="9" width="11.421875" style="409" customWidth="1"/>
    <col min="10" max="10" width="17.421875" style="409" customWidth="1"/>
    <col min="11" max="11" width="23.7109375" style="410" customWidth="1"/>
    <col min="12" max="12" width="9.7109375" style="409" customWidth="1"/>
    <col min="13" max="13" width="31.7109375" style="409" customWidth="1"/>
    <col min="14" max="14" width="31.140625" style="409" customWidth="1"/>
    <col min="15" max="15" width="29.140625" style="409" customWidth="1"/>
    <col min="16" max="16" width="31.28125" style="409" customWidth="1"/>
    <col min="17" max="17" width="33.28125" style="410" customWidth="1"/>
    <col min="18" max="16384" width="9.7109375" style="409" customWidth="1"/>
  </cols>
  <sheetData>
    <row r="1" spans="1:19" ht="24.75" customHeight="1">
      <c r="A1" s="220" t="s">
        <v>677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  <c r="S1" s="409" t="s">
        <v>1206</v>
      </c>
    </row>
    <row r="2" spans="1:11" ht="29.25" customHeight="1" thickBot="1">
      <c r="A2" s="285" t="s">
        <v>179</v>
      </c>
      <c r="B2" s="221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21.75" customHeight="1" thickBot="1">
      <c r="A3" s="275"/>
      <c r="B3" s="224" t="s">
        <v>679</v>
      </c>
      <c r="C3" s="276"/>
      <c r="D3" s="277"/>
      <c r="E3" s="224" t="s">
        <v>680</v>
      </c>
      <c r="F3" s="276"/>
      <c r="G3" s="277"/>
      <c r="H3" s="224" t="s">
        <v>681</v>
      </c>
      <c r="I3" s="276"/>
      <c r="J3" s="294"/>
      <c r="K3" s="1241"/>
    </row>
    <row r="4" spans="1:11" ht="21.75" customHeight="1">
      <c r="A4" s="228" t="s">
        <v>566</v>
      </c>
      <c r="B4" s="275" t="s">
        <v>649</v>
      </c>
      <c r="C4" s="275" t="s">
        <v>568</v>
      </c>
      <c r="D4" s="275" t="s">
        <v>569</v>
      </c>
      <c r="E4" s="275" t="s">
        <v>649</v>
      </c>
      <c r="F4" s="275" t="s">
        <v>568</v>
      </c>
      <c r="G4" s="275" t="s">
        <v>569</v>
      </c>
      <c r="H4" s="275" t="s">
        <v>649</v>
      </c>
      <c r="I4" s="275" t="s">
        <v>568</v>
      </c>
      <c r="J4" s="275" t="s">
        <v>569</v>
      </c>
      <c r="K4" s="229" t="s">
        <v>570</v>
      </c>
    </row>
    <row r="5" spans="1:11" ht="21.75" customHeight="1">
      <c r="A5" s="228" t="s">
        <v>571</v>
      </c>
      <c r="B5" s="230" t="s">
        <v>572</v>
      </c>
      <c r="C5" s="230" t="s">
        <v>573</v>
      </c>
      <c r="D5" s="230" t="s">
        <v>574</v>
      </c>
      <c r="E5" s="230" t="s">
        <v>572</v>
      </c>
      <c r="F5" s="230" t="s">
        <v>573</v>
      </c>
      <c r="G5" s="230" t="s">
        <v>574</v>
      </c>
      <c r="H5" s="230" t="s">
        <v>572</v>
      </c>
      <c r="I5" s="230" t="s">
        <v>573</v>
      </c>
      <c r="J5" s="230" t="s">
        <v>574</v>
      </c>
      <c r="K5" s="229" t="s">
        <v>575</v>
      </c>
    </row>
    <row r="6" spans="1:11" ht="21.75" customHeight="1" thickBot="1">
      <c r="A6" s="1242"/>
      <c r="B6" s="233" t="s">
        <v>444</v>
      </c>
      <c r="C6" s="233" t="s">
        <v>576</v>
      </c>
      <c r="D6" s="233" t="s">
        <v>577</v>
      </c>
      <c r="E6" s="233" t="s">
        <v>444</v>
      </c>
      <c r="F6" s="233" t="s">
        <v>576</v>
      </c>
      <c r="G6" s="233" t="s">
        <v>577</v>
      </c>
      <c r="H6" s="233" t="s">
        <v>444</v>
      </c>
      <c r="I6" s="233" t="s">
        <v>576</v>
      </c>
      <c r="J6" s="233" t="s">
        <v>577</v>
      </c>
      <c r="K6" s="289"/>
    </row>
    <row r="7" spans="1:256" ht="21.75" customHeight="1" thickBot="1">
      <c r="A7" s="567" t="s">
        <v>578</v>
      </c>
      <c r="B7" s="1243">
        <f>SUM(B13+B20+B26)</f>
        <v>26697</v>
      </c>
      <c r="C7" s="1244">
        <f>(D7*1000)/B7</f>
        <v>2477.6192081507284</v>
      </c>
      <c r="D7" s="1245">
        <f>SUM(D13+D20+D26)</f>
        <v>66145</v>
      </c>
      <c r="E7" s="1243">
        <f>SUM(E13+E20+E26)</f>
        <v>2278</v>
      </c>
      <c r="F7" s="1244">
        <f>(G7*1000)/E7</f>
        <v>2341.527655838455</v>
      </c>
      <c r="G7" s="1245">
        <f>SUM(G13+G20+G26)</f>
        <v>5334</v>
      </c>
      <c r="H7" s="2218">
        <f>SUM(H20+H26)</f>
        <v>160.5</v>
      </c>
      <c r="I7" s="1244">
        <f>(J7*1000)/H7</f>
        <v>3557.632398753894</v>
      </c>
      <c r="J7" s="1246">
        <f>SUM(J20+J26)</f>
        <v>571</v>
      </c>
      <c r="K7" s="568" t="s">
        <v>579</v>
      </c>
      <c r="L7" s="411"/>
      <c r="R7" s="264"/>
      <c r="S7" s="264"/>
      <c r="T7" s="264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  <c r="DM7" s="411"/>
      <c r="DN7" s="411"/>
      <c r="DO7" s="411"/>
      <c r="DP7" s="411"/>
      <c r="DQ7" s="411"/>
      <c r="DR7" s="411"/>
      <c r="DS7" s="411"/>
      <c r="DT7" s="411"/>
      <c r="DU7" s="411"/>
      <c r="DV7" s="411"/>
      <c r="DW7" s="411"/>
      <c r="DX7" s="411"/>
      <c r="DY7" s="411"/>
      <c r="DZ7" s="411"/>
      <c r="EA7" s="411"/>
      <c r="EB7" s="411"/>
      <c r="EC7" s="411"/>
      <c r="ED7" s="411"/>
      <c r="EE7" s="411"/>
      <c r="EF7" s="411"/>
      <c r="EG7" s="411"/>
      <c r="EH7" s="411"/>
      <c r="EI7" s="411"/>
      <c r="EJ7" s="411"/>
      <c r="EK7" s="411"/>
      <c r="EL7" s="411"/>
      <c r="EM7" s="411"/>
      <c r="EN7" s="411"/>
      <c r="EO7" s="411"/>
      <c r="EP7" s="411"/>
      <c r="EQ7" s="411"/>
      <c r="ER7" s="411"/>
      <c r="ES7" s="411"/>
      <c r="ET7" s="411"/>
      <c r="EU7" s="411"/>
      <c r="EV7" s="411"/>
      <c r="EW7" s="411"/>
      <c r="EX7" s="411"/>
      <c r="EY7" s="411"/>
      <c r="EZ7" s="411"/>
      <c r="FA7" s="411"/>
      <c r="FB7" s="411"/>
      <c r="FC7" s="411"/>
      <c r="FD7" s="411"/>
      <c r="FE7" s="411"/>
      <c r="FF7" s="411"/>
      <c r="FG7" s="411"/>
      <c r="FH7" s="411"/>
      <c r="FI7" s="411"/>
      <c r="FJ7" s="411"/>
      <c r="FK7" s="411"/>
      <c r="FL7" s="411"/>
      <c r="FM7" s="411"/>
      <c r="FN7" s="411"/>
      <c r="FO7" s="411"/>
      <c r="FP7" s="411"/>
      <c r="FQ7" s="411"/>
      <c r="FR7" s="411"/>
      <c r="FS7" s="411"/>
      <c r="FT7" s="411"/>
      <c r="FU7" s="411"/>
      <c r="FV7" s="411"/>
      <c r="FW7" s="411"/>
      <c r="FX7" s="411"/>
      <c r="FY7" s="411"/>
      <c r="FZ7" s="411"/>
      <c r="GA7" s="411"/>
      <c r="GB7" s="411"/>
      <c r="GC7" s="411"/>
      <c r="GD7" s="411"/>
      <c r="GE7" s="411"/>
      <c r="GF7" s="411"/>
      <c r="GG7" s="411"/>
      <c r="GH7" s="411"/>
      <c r="GI7" s="411"/>
      <c r="GJ7" s="411"/>
      <c r="GK7" s="411"/>
      <c r="GL7" s="411"/>
      <c r="GM7" s="411"/>
      <c r="GN7" s="411"/>
      <c r="GO7" s="411"/>
      <c r="GP7" s="411"/>
      <c r="GQ7" s="411"/>
      <c r="GR7" s="411"/>
      <c r="GS7" s="411"/>
      <c r="GT7" s="411"/>
      <c r="GU7" s="411"/>
      <c r="GV7" s="411"/>
      <c r="GW7" s="411"/>
      <c r="GX7" s="411"/>
      <c r="GY7" s="411"/>
      <c r="GZ7" s="411"/>
      <c r="HA7" s="411"/>
      <c r="HB7" s="411"/>
      <c r="HC7" s="411"/>
      <c r="HD7" s="411"/>
      <c r="HE7" s="411"/>
      <c r="HF7" s="411"/>
      <c r="HG7" s="411"/>
      <c r="HH7" s="411"/>
      <c r="HI7" s="411"/>
      <c r="HJ7" s="411"/>
      <c r="HK7" s="411"/>
      <c r="HL7" s="411"/>
      <c r="HM7" s="411"/>
      <c r="HN7" s="411"/>
      <c r="HO7" s="411"/>
      <c r="HP7" s="411"/>
      <c r="HQ7" s="411"/>
      <c r="HR7" s="411"/>
      <c r="HS7" s="411"/>
      <c r="HT7" s="411"/>
      <c r="HU7" s="411"/>
      <c r="HV7" s="411"/>
      <c r="HW7" s="411"/>
      <c r="HX7" s="411"/>
      <c r="HY7" s="411"/>
      <c r="HZ7" s="411"/>
      <c r="IA7" s="411"/>
      <c r="IB7" s="411"/>
      <c r="IC7" s="411"/>
      <c r="ID7" s="411"/>
      <c r="IE7" s="411"/>
      <c r="IF7" s="411"/>
      <c r="IG7" s="411"/>
      <c r="IH7" s="411"/>
      <c r="II7" s="411"/>
      <c r="IJ7" s="411"/>
      <c r="IK7" s="411"/>
      <c r="IL7" s="411"/>
      <c r="IM7" s="411"/>
      <c r="IN7" s="411"/>
      <c r="IO7" s="411"/>
      <c r="IP7" s="411"/>
      <c r="IQ7" s="411"/>
      <c r="IR7" s="411"/>
      <c r="IS7" s="411"/>
      <c r="IT7" s="411"/>
      <c r="IU7" s="411"/>
      <c r="IV7" s="411"/>
    </row>
    <row r="8" spans="1:256" ht="21.75" customHeight="1">
      <c r="A8" s="412" t="s">
        <v>580</v>
      </c>
      <c r="B8" s="1247" t="s">
        <v>464</v>
      </c>
      <c r="C8" s="1248" t="s">
        <v>464</v>
      </c>
      <c r="D8" s="1249" t="s">
        <v>464</v>
      </c>
      <c r="E8" s="1247" t="s">
        <v>464</v>
      </c>
      <c r="F8" s="1248" t="s">
        <v>464</v>
      </c>
      <c r="G8" s="1249" t="s">
        <v>464</v>
      </c>
      <c r="H8" s="1247" t="s">
        <v>464</v>
      </c>
      <c r="I8" s="1248" t="s">
        <v>464</v>
      </c>
      <c r="J8" s="1249" t="s">
        <v>464</v>
      </c>
      <c r="K8" s="548" t="s">
        <v>581</v>
      </c>
      <c r="L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/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/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/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/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/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4"/>
      <c r="HF8" s="264"/>
      <c r="HG8" s="264"/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/>
      <c r="HV8" s="264"/>
      <c r="HW8" s="264"/>
      <c r="HX8" s="264"/>
      <c r="HY8" s="264"/>
      <c r="HZ8" s="264"/>
      <c r="IA8" s="264"/>
      <c r="IB8" s="264"/>
      <c r="IC8" s="264"/>
      <c r="ID8" s="264"/>
      <c r="IE8" s="264"/>
      <c r="IF8" s="264"/>
      <c r="IG8" s="264"/>
      <c r="IH8" s="264"/>
      <c r="II8" s="264"/>
      <c r="IJ8" s="264"/>
      <c r="IK8" s="264"/>
      <c r="IL8" s="264"/>
      <c r="IM8" s="264"/>
      <c r="IN8" s="264"/>
      <c r="IO8" s="264"/>
      <c r="IP8" s="264"/>
      <c r="IQ8" s="264"/>
      <c r="IR8" s="264"/>
      <c r="IS8" s="264"/>
      <c r="IT8" s="264"/>
      <c r="IU8" s="264"/>
      <c r="IV8" s="264"/>
    </row>
    <row r="9" spans="1:11" ht="21.75" customHeight="1">
      <c r="A9" s="413" t="s">
        <v>582</v>
      </c>
      <c r="B9" s="1250" t="s">
        <v>464</v>
      </c>
      <c r="C9" s="1251" t="s">
        <v>464</v>
      </c>
      <c r="D9" s="586" t="s">
        <v>464</v>
      </c>
      <c r="E9" s="1250" t="s">
        <v>464</v>
      </c>
      <c r="F9" s="1251" t="s">
        <v>464</v>
      </c>
      <c r="G9" s="586" t="s">
        <v>464</v>
      </c>
      <c r="H9" s="1250" t="s">
        <v>464</v>
      </c>
      <c r="I9" s="1251" t="s">
        <v>464</v>
      </c>
      <c r="J9" s="586" t="s">
        <v>464</v>
      </c>
      <c r="K9" s="549" t="s">
        <v>583</v>
      </c>
    </row>
    <row r="10" spans="1:11" ht="21.75" customHeight="1">
      <c r="A10" s="413" t="s">
        <v>584</v>
      </c>
      <c r="B10" s="1250" t="s">
        <v>464</v>
      </c>
      <c r="C10" s="1251" t="s">
        <v>464</v>
      </c>
      <c r="D10" s="586" t="s">
        <v>464</v>
      </c>
      <c r="E10" s="1250" t="s">
        <v>464</v>
      </c>
      <c r="F10" s="1251" t="s">
        <v>464</v>
      </c>
      <c r="G10" s="586" t="s">
        <v>464</v>
      </c>
      <c r="H10" s="1250" t="s">
        <v>464</v>
      </c>
      <c r="I10" s="1251" t="s">
        <v>464</v>
      </c>
      <c r="J10" s="586" t="s">
        <v>464</v>
      </c>
      <c r="K10" s="549" t="s">
        <v>584</v>
      </c>
    </row>
    <row r="11" spans="1:11" ht="21.75" customHeight="1">
      <c r="A11" s="413" t="s">
        <v>585</v>
      </c>
      <c r="B11" s="1250" t="s">
        <v>464</v>
      </c>
      <c r="C11" s="1251" t="s">
        <v>464</v>
      </c>
      <c r="D11" s="586" t="s">
        <v>464</v>
      </c>
      <c r="E11" s="1250" t="s">
        <v>464</v>
      </c>
      <c r="F11" s="1251" t="s">
        <v>464</v>
      </c>
      <c r="G11" s="586" t="s">
        <v>464</v>
      </c>
      <c r="H11" s="1250" t="s">
        <v>464</v>
      </c>
      <c r="I11" s="1251" t="s">
        <v>464</v>
      </c>
      <c r="J11" s="586" t="s">
        <v>464</v>
      </c>
      <c r="K11" s="549" t="s">
        <v>585</v>
      </c>
    </row>
    <row r="12" spans="1:11" ht="21.75" customHeight="1">
      <c r="A12" s="413"/>
      <c r="B12" s="1252"/>
      <c r="C12" s="1253"/>
      <c r="D12" s="1254"/>
      <c r="E12" s="1252"/>
      <c r="F12" s="1253"/>
      <c r="G12" s="1254"/>
      <c r="H12" s="1252"/>
      <c r="I12" s="1253"/>
      <c r="J12" s="1254"/>
      <c r="K12" s="549"/>
    </row>
    <row r="13" spans="1:11" ht="21.75" customHeight="1">
      <c r="A13" s="414" t="s">
        <v>588</v>
      </c>
      <c r="B13" s="1255">
        <f>SUM(B14:B18)</f>
        <v>129</v>
      </c>
      <c r="C13" s="1256">
        <f>(D13*1000)/B13</f>
        <v>3720.9302325581393</v>
      </c>
      <c r="D13" s="1257">
        <f>SUM(D14:D18)</f>
        <v>480</v>
      </c>
      <c r="E13" s="1255">
        <f>SUM(E14:E18)</f>
        <v>53</v>
      </c>
      <c r="F13" s="1256">
        <f>(G13*1000)/E13</f>
        <v>1283.0188679245282</v>
      </c>
      <c r="G13" s="1257">
        <f>SUM(G14:G18)</f>
        <v>68</v>
      </c>
      <c r="H13" s="1250" t="s">
        <v>464</v>
      </c>
      <c r="I13" s="1251" t="s">
        <v>464</v>
      </c>
      <c r="J13" s="586" t="s">
        <v>464</v>
      </c>
      <c r="K13" s="550" t="s">
        <v>589</v>
      </c>
    </row>
    <row r="14" spans="1:11" ht="21.75" customHeight="1">
      <c r="A14" s="413" t="s">
        <v>590</v>
      </c>
      <c r="B14" s="1252">
        <v>45</v>
      </c>
      <c r="C14" s="1253">
        <f>(D14*1000)/B14</f>
        <v>1333.3333333333333</v>
      </c>
      <c r="D14" s="1254">
        <v>60</v>
      </c>
      <c r="E14" s="1252">
        <v>41</v>
      </c>
      <c r="F14" s="1253">
        <f>(G14*1000)/E14</f>
        <v>1609.7560975609756</v>
      </c>
      <c r="G14" s="1254">
        <v>66</v>
      </c>
      <c r="H14" s="1250" t="s">
        <v>464</v>
      </c>
      <c r="I14" s="1251" t="s">
        <v>464</v>
      </c>
      <c r="J14" s="586" t="s">
        <v>464</v>
      </c>
      <c r="K14" s="549" t="s">
        <v>591</v>
      </c>
    </row>
    <row r="15" spans="1:256" ht="21.75" customHeight="1">
      <c r="A15" s="413" t="s">
        <v>592</v>
      </c>
      <c r="B15" s="1250" t="s">
        <v>464</v>
      </c>
      <c r="C15" s="1251" t="s">
        <v>464</v>
      </c>
      <c r="D15" s="586" t="s">
        <v>464</v>
      </c>
      <c r="E15" s="1250" t="s">
        <v>464</v>
      </c>
      <c r="F15" s="1251" t="s">
        <v>464</v>
      </c>
      <c r="G15" s="586" t="s">
        <v>464</v>
      </c>
      <c r="H15" s="1250" t="s">
        <v>464</v>
      </c>
      <c r="I15" s="1251" t="s">
        <v>464</v>
      </c>
      <c r="J15" s="586" t="s">
        <v>464</v>
      </c>
      <c r="K15" s="549" t="s">
        <v>593</v>
      </c>
      <c r="L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4"/>
      <c r="CN15" s="264"/>
      <c r="CO15" s="264"/>
      <c r="CP15" s="264"/>
      <c r="CQ15" s="264"/>
      <c r="CR15" s="264"/>
      <c r="CS15" s="264"/>
      <c r="CT15" s="264"/>
      <c r="CU15" s="264"/>
      <c r="CV15" s="264"/>
      <c r="CW15" s="264"/>
      <c r="CX15" s="264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4"/>
      <c r="FF15" s="264"/>
      <c r="FG15" s="264"/>
      <c r="FH15" s="264"/>
      <c r="FI15" s="264"/>
      <c r="FJ15" s="264"/>
      <c r="FK15" s="264"/>
      <c r="FL15" s="264"/>
      <c r="FM15" s="264"/>
      <c r="FN15" s="264"/>
      <c r="FO15" s="264"/>
      <c r="FP15" s="264"/>
      <c r="FQ15" s="264"/>
      <c r="FR15" s="264"/>
      <c r="FS15" s="264"/>
      <c r="FT15" s="264"/>
      <c r="FU15" s="264"/>
      <c r="FV15" s="264"/>
      <c r="FW15" s="264"/>
      <c r="FX15" s="264"/>
      <c r="FY15" s="264"/>
      <c r="FZ15" s="264"/>
      <c r="GA15" s="264"/>
      <c r="GB15" s="264"/>
      <c r="GC15" s="264"/>
      <c r="GD15" s="264"/>
      <c r="GE15" s="264"/>
      <c r="GF15" s="264"/>
      <c r="GG15" s="264"/>
      <c r="GH15" s="264"/>
      <c r="GI15" s="264"/>
      <c r="GJ15" s="264"/>
      <c r="GK15" s="264"/>
      <c r="GL15" s="264"/>
      <c r="GM15" s="264"/>
      <c r="GN15" s="264"/>
      <c r="GO15" s="264"/>
      <c r="GP15" s="264"/>
      <c r="GQ15" s="264"/>
      <c r="GR15" s="264"/>
      <c r="GS15" s="264"/>
      <c r="GT15" s="264"/>
      <c r="GU15" s="264"/>
      <c r="GV15" s="264"/>
      <c r="GW15" s="264"/>
      <c r="GX15" s="264"/>
      <c r="GY15" s="264"/>
      <c r="GZ15" s="264"/>
      <c r="HA15" s="264"/>
      <c r="HB15" s="264"/>
      <c r="HC15" s="264"/>
      <c r="HD15" s="264"/>
      <c r="HE15" s="264"/>
      <c r="HF15" s="264"/>
      <c r="HG15" s="264"/>
      <c r="HH15" s="264"/>
      <c r="HI15" s="264"/>
      <c r="HJ15" s="264"/>
      <c r="HK15" s="264"/>
      <c r="HL15" s="264"/>
      <c r="HM15" s="264"/>
      <c r="HN15" s="264"/>
      <c r="HO15" s="264"/>
      <c r="HP15" s="264"/>
      <c r="HQ15" s="264"/>
      <c r="HR15" s="264"/>
      <c r="HS15" s="264"/>
      <c r="HT15" s="264"/>
      <c r="HU15" s="264"/>
      <c r="HV15" s="264"/>
      <c r="HW15" s="264"/>
      <c r="HX15" s="264"/>
      <c r="HY15" s="264"/>
      <c r="HZ15" s="264"/>
      <c r="IA15" s="264"/>
      <c r="IB15" s="264"/>
      <c r="IC15" s="264"/>
      <c r="ID15" s="264"/>
      <c r="IE15" s="264"/>
      <c r="IF15" s="264"/>
      <c r="IG15" s="264"/>
      <c r="IH15" s="264"/>
      <c r="II15" s="264"/>
      <c r="IJ15" s="264"/>
      <c r="IK15" s="264"/>
      <c r="IL15" s="264"/>
      <c r="IM15" s="264"/>
      <c r="IN15" s="264"/>
      <c r="IO15" s="264"/>
      <c r="IP15" s="264"/>
      <c r="IQ15" s="264"/>
      <c r="IR15" s="264"/>
      <c r="IS15" s="264"/>
      <c r="IT15" s="264"/>
      <c r="IU15" s="264"/>
      <c r="IV15" s="264"/>
    </row>
    <row r="16" spans="1:11" ht="21.75" customHeight="1">
      <c r="A16" s="413" t="s">
        <v>594</v>
      </c>
      <c r="B16" s="1252">
        <v>84</v>
      </c>
      <c r="C16" s="1253">
        <f>(D16*1000)/B16</f>
        <v>5000</v>
      </c>
      <c r="D16" s="1254">
        <v>420</v>
      </c>
      <c r="E16" s="1252">
        <v>1</v>
      </c>
      <c r="F16" s="1253">
        <f>(G16*1000)/E16</f>
        <v>2000</v>
      </c>
      <c r="G16" s="1254">
        <v>2</v>
      </c>
      <c r="H16" s="1250" t="s">
        <v>464</v>
      </c>
      <c r="I16" s="1251" t="s">
        <v>464</v>
      </c>
      <c r="J16" s="586" t="s">
        <v>464</v>
      </c>
      <c r="K16" s="549" t="s">
        <v>594</v>
      </c>
    </row>
    <row r="17" spans="1:11" ht="21.75" customHeight="1">
      <c r="A17" s="413" t="s">
        <v>599</v>
      </c>
      <c r="B17" s="1250" t="s">
        <v>464</v>
      </c>
      <c r="C17" s="1251" t="s">
        <v>464</v>
      </c>
      <c r="D17" s="586" t="s">
        <v>464</v>
      </c>
      <c r="E17" s="1252">
        <v>11</v>
      </c>
      <c r="F17" s="1253">
        <f>(G17*1000)/E17</f>
        <v>0</v>
      </c>
      <c r="G17" s="1254"/>
      <c r="H17" s="1250" t="s">
        <v>464</v>
      </c>
      <c r="I17" s="1251" t="s">
        <v>464</v>
      </c>
      <c r="J17" s="586" t="s">
        <v>464</v>
      </c>
      <c r="K17" s="549" t="s">
        <v>599</v>
      </c>
    </row>
    <row r="18" spans="1:11" ht="21.75" customHeight="1">
      <c r="A18" s="413" t="s">
        <v>598</v>
      </c>
      <c r="B18" s="1250" t="s">
        <v>464</v>
      </c>
      <c r="C18" s="1251" t="s">
        <v>464</v>
      </c>
      <c r="D18" s="586" t="s">
        <v>464</v>
      </c>
      <c r="E18" s="1250" t="s">
        <v>464</v>
      </c>
      <c r="F18" s="1251" t="s">
        <v>464</v>
      </c>
      <c r="G18" s="586" t="s">
        <v>464</v>
      </c>
      <c r="H18" s="1250" t="s">
        <v>464</v>
      </c>
      <c r="I18" s="1251" t="s">
        <v>464</v>
      </c>
      <c r="J18" s="586" t="s">
        <v>464</v>
      </c>
      <c r="K18" s="549" t="s">
        <v>598</v>
      </c>
    </row>
    <row r="19" spans="1:11" ht="21.75" customHeight="1">
      <c r="A19" s="551"/>
      <c r="B19" s="1258"/>
      <c r="C19" s="1259"/>
      <c r="D19" s="1260"/>
      <c r="E19" s="1252"/>
      <c r="F19" s="1261"/>
      <c r="G19" s="1262"/>
      <c r="H19" s="1258"/>
      <c r="I19" s="1259"/>
      <c r="J19" s="1260"/>
      <c r="K19" s="549"/>
    </row>
    <row r="20" spans="1:11" ht="21.75" customHeight="1">
      <c r="A20" s="414" t="s">
        <v>601</v>
      </c>
      <c r="B20" s="1255">
        <f>SUM(B21:B24)</f>
        <v>97</v>
      </c>
      <c r="C20" s="1256">
        <f>(D20*1000)/B20</f>
        <v>1556.701030927835</v>
      </c>
      <c r="D20" s="1257">
        <f>SUM(D21:D24)</f>
        <v>151</v>
      </c>
      <c r="E20" s="1255">
        <f>SUM(E21:E24)</f>
        <v>16</v>
      </c>
      <c r="F20" s="1256">
        <f>(G20*1000)/E20</f>
        <v>1375</v>
      </c>
      <c r="G20" s="1257">
        <f>SUM(G21:G24)</f>
        <v>22</v>
      </c>
      <c r="H20" s="1255">
        <f>SUM(H21:H24)</f>
        <v>9</v>
      </c>
      <c r="I20" s="1256">
        <f>(J20*1000)/H20</f>
        <v>2333.3333333333335</v>
      </c>
      <c r="J20" s="1257">
        <f>SUM(J21:J24)</f>
        <v>21</v>
      </c>
      <c r="K20" s="550" t="s">
        <v>602</v>
      </c>
    </row>
    <row r="21" spans="1:11" ht="21.75" customHeight="1">
      <c r="A21" s="413" t="s">
        <v>603</v>
      </c>
      <c r="B21" s="1250" t="s">
        <v>464</v>
      </c>
      <c r="C21" s="1251" t="s">
        <v>464</v>
      </c>
      <c r="D21" s="586" t="s">
        <v>464</v>
      </c>
      <c r="E21" s="1263">
        <v>13</v>
      </c>
      <c r="F21" s="1253">
        <f>(G21*1000)/E21</f>
        <v>1000</v>
      </c>
      <c r="G21" s="1254">
        <v>13</v>
      </c>
      <c r="H21" s="1250" t="s">
        <v>464</v>
      </c>
      <c r="I21" s="1251" t="s">
        <v>464</v>
      </c>
      <c r="J21" s="586" t="s">
        <v>464</v>
      </c>
      <c r="K21" s="549" t="s">
        <v>604</v>
      </c>
    </row>
    <row r="22" spans="1:11" ht="21.75" customHeight="1">
      <c r="A22" s="413" t="s">
        <v>605</v>
      </c>
      <c r="B22" s="1252">
        <v>3</v>
      </c>
      <c r="C22" s="1253">
        <f>(D22*1000)/B22</f>
        <v>3000</v>
      </c>
      <c r="D22" s="1254">
        <v>9</v>
      </c>
      <c r="E22" s="1252">
        <v>3</v>
      </c>
      <c r="F22" s="1253">
        <f>(G22*1000)/E22</f>
        <v>3000</v>
      </c>
      <c r="G22" s="1254">
        <v>9</v>
      </c>
      <c r="H22" s="1252">
        <v>3</v>
      </c>
      <c r="I22" s="1264">
        <f>(J22*1000)/H22</f>
        <v>3000</v>
      </c>
      <c r="J22" s="1254">
        <v>9</v>
      </c>
      <c r="K22" s="549" t="s">
        <v>606</v>
      </c>
    </row>
    <row r="23" spans="1:11" ht="21.75" customHeight="1">
      <c r="A23" s="413" t="s">
        <v>607</v>
      </c>
      <c r="B23" s="1250" t="s">
        <v>464</v>
      </c>
      <c r="C23" s="1251" t="s">
        <v>464</v>
      </c>
      <c r="D23" s="586" t="s">
        <v>464</v>
      </c>
      <c r="E23" s="1250" t="s">
        <v>464</v>
      </c>
      <c r="F23" s="1251" t="s">
        <v>464</v>
      </c>
      <c r="G23" s="586" t="s">
        <v>464</v>
      </c>
      <c r="H23" s="1250" t="s">
        <v>464</v>
      </c>
      <c r="I23" s="1251" t="s">
        <v>464</v>
      </c>
      <c r="J23" s="586" t="s">
        <v>464</v>
      </c>
      <c r="K23" s="549" t="s">
        <v>607</v>
      </c>
    </row>
    <row r="24" spans="1:11" ht="21.75" customHeight="1">
      <c r="A24" s="413" t="s">
        <v>608</v>
      </c>
      <c r="B24" s="1252">
        <v>94</v>
      </c>
      <c r="C24" s="1253">
        <f>(D24*1000)/B24</f>
        <v>1510.6382978723404</v>
      </c>
      <c r="D24" s="1254">
        <v>142</v>
      </c>
      <c r="E24" s="1250" t="s">
        <v>464</v>
      </c>
      <c r="F24" s="1251" t="s">
        <v>464</v>
      </c>
      <c r="G24" s="586" t="s">
        <v>464</v>
      </c>
      <c r="H24" s="1252">
        <v>6</v>
      </c>
      <c r="I24" s="1264">
        <f>(J24*1000)/H24</f>
        <v>2000</v>
      </c>
      <c r="J24" s="1254">
        <v>12</v>
      </c>
      <c r="K24" s="549" t="s">
        <v>608</v>
      </c>
    </row>
    <row r="25" spans="1:256" ht="21.75" customHeight="1">
      <c r="A25" s="552"/>
      <c r="B25" s="1265"/>
      <c r="C25" s="1266"/>
      <c r="D25" s="1267"/>
      <c r="E25" s="1255"/>
      <c r="F25" s="1268"/>
      <c r="G25" s="1269"/>
      <c r="H25" s="1265"/>
      <c r="I25" s="1266"/>
      <c r="J25" s="1267"/>
      <c r="K25" s="553"/>
      <c r="L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64"/>
      <c r="EQ25" s="264"/>
      <c r="ER25" s="264"/>
      <c r="ES25" s="264"/>
      <c r="ET25" s="264"/>
      <c r="EU25" s="264"/>
      <c r="EV25" s="264"/>
      <c r="EW25" s="264"/>
      <c r="EX25" s="264"/>
      <c r="EY25" s="264"/>
      <c r="EZ25" s="264"/>
      <c r="FA25" s="264"/>
      <c r="FB25" s="264"/>
      <c r="FC25" s="264"/>
      <c r="FD25" s="264"/>
      <c r="FE25" s="264"/>
      <c r="FF25" s="264"/>
      <c r="FG25" s="264"/>
      <c r="FH25" s="264"/>
      <c r="FI25" s="264"/>
      <c r="FJ25" s="264"/>
      <c r="FK25" s="264"/>
      <c r="FL25" s="264"/>
      <c r="FM25" s="264"/>
      <c r="FN25" s="264"/>
      <c r="FO25" s="264"/>
      <c r="FP25" s="264"/>
      <c r="FQ25" s="264"/>
      <c r="FR25" s="264"/>
      <c r="FS25" s="264"/>
      <c r="FT25" s="264"/>
      <c r="FU25" s="264"/>
      <c r="FV25" s="264"/>
      <c r="FW25" s="264"/>
      <c r="FX25" s="264"/>
      <c r="FY25" s="264"/>
      <c r="FZ25" s="264"/>
      <c r="GA25" s="264"/>
      <c r="GB25" s="264"/>
      <c r="GC25" s="264"/>
      <c r="GD25" s="264"/>
      <c r="GE25" s="264"/>
      <c r="GF25" s="264"/>
      <c r="GG25" s="264"/>
      <c r="GH25" s="264"/>
      <c r="GI25" s="264"/>
      <c r="GJ25" s="264"/>
      <c r="GK25" s="264"/>
      <c r="GL25" s="264"/>
      <c r="GM25" s="264"/>
      <c r="GN25" s="264"/>
      <c r="GO25" s="264"/>
      <c r="GP25" s="264"/>
      <c r="GQ25" s="264"/>
      <c r="GR25" s="264"/>
      <c r="GS25" s="264"/>
      <c r="GT25" s="264"/>
      <c r="GU25" s="264"/>
      <c r="GV25" s="264"/>
      <c r="GW25" s="264"/>
      <c r="GX25" s="264"/>
      <c r="GY25" s="264"/>
      <c r="GZ25" s="264"/>
      <c r="HA25" s="264"/>
      <c r="HB25" s="264"/>
      <c r="HC25" s="264"/>
      <c r="HD25" s="264"/>
      <c r="HE25" s="264"/>
      <c r="HF25" s="264"/>
      <c r="HG25" s="264"/>
      <c r="HH25" s="264"/>
      <c r="HI25" s="264"/>
      <c r="HJ25" s="264"/>
      <c r="HK25" s="264"/>
      <c r="HL25" s="264"/>
      <c r="HM25" s="264"/>
      <c r="HN25" s="264"/>
      <c r="HO25" s="264"/>
      <c r="HP25" s="264"/>
      <c r="HQ25" s="264"/>
      <c r="HR25" s="264"/>
      <c r="HS25" s="264"/>
      <c r="HT25" s="264"/>
      <c r="HU25" s="264"/>
      <c r="HV25" s="264"/>
      <c r="HW25" s="264"/>
      <c r="HX25" s="264"/>
      <c r="HY25" s="264"/>
      <c r="HZ25" s="264"/>
      <c r="IA25" s="264"/>
      <c r="IB25" s="264"/>
      <c r="IC25" s="264"/>
      <c r="ID25" s="264"/>
      <c r="IE25" s="264"/>
      <c r="IF25" s="264"/>
      <c r="IG25" s="264"/>
      <c r="IH25" s="264"/>
      <c r="II25" s="264"/>
      <c r="IJ25" s="264"/>
      <c r="IK25" s="264"/>
      <c r="IL25" s="264"/>
      <c r="IM25" s="264"/>
      <c r="IN25" s="264"/>
      <c r="IO25" s="264"/>
      <c r="IP25" s="264"/>
      <c r="IQ25" s="264"/>
      <c r="IR25" s="264"/>
      <c r="IS25" s="264"/>
      <c r="IT25" s="264"/>
      <c r="IU25" s="264"/>
      <c r="IV25" s="264"/>
    </row>
    <row r="26" spans="1:11" ht="21.75" customHeight="1">
      <c r="A26" s="554" t="s">
        <v>1286</v>
      </c>
      <c r="B26" s="1270">
        <f>SUM(B27:B28)</f>
        <v>26471</v>
      </c>
      <c r="C26" s="1271">
        <f>(D26*1000)/B26</f>
        <v>2474.9348343470215</v>
      </c>
      <c r="D26" s="1272">
        <f>SUM(D27:D28)</f>
        <v>65514</v>
      </c>
      <c r="E26" s="1270">
        <f>SUM(E27:E28)</f>
        <v>2209</v>
      </c>
      <c r="F26" s="1271">
        <f>(G26*1000)/E26</f>
        <v>2373.924852874604</v>
      </c>
      <c r="G26" s="1272">
        <f>SUM(G27:G28)</f>
        <v>5244</v>
      </c>
      <c r="H26" s="1273">
        <f>SUM(H27:H28)</f>
        <v>151.5</v>
      </c>
      <c r="I26" s="1271">
        <f>(J26*1000)/H26</f>
        <v>3630.3630363036305</v>
      </c>
      <c r="J26" s="1274">
        <f>SUM(J27:J28)</f>
        <v>550</v>
      </c>
      <c r="K26" s="555" t="s">
        <v>1286</v>
      </c>
    </row>
    <row r="27" spans="1:11" ht="21.75" customHeight="1">
      <c r="A27" s="551" t="s">
        <v>586</v>
      </c>
      <c r="B27" s="1252">
        <v>24077</v>
      </c>
      <c r="C27" s="1253">
        <f>(D27*1000)/B27</f>
        <v>2454.7908792623666</v>
      </c>
      <c r="D27" s="1262">
        <v>59104</v>
      </c>
      <c r="E27" s="1252">
        <v>1005</v>
      </c>
      <c r="F27" s="1253">
        <f>(G27*1000)/E27</f>
        <v>3013.9303482587065</v>
      </c>
      <c r="G27" s="1262">
        <v>3029</v>
      </c>
      <c r="H27" s="1258">
        <v>91</v>
      </c>
      <c r="I27" s="1253">
        <f>(J27*1000)/H27</f>
        <v>3637.3626373626375</v>
      </c>
      <c r="J27" s="1260">
        <v>331</v>
      </c>
      <c r="K27" s="549" t="s">
        <v>586</v>
      </c>
    </row>
    <row r="28" spans="1:11" ht="21.75" customHeight="1">
      <c r="A28" s="551" t="s">
        <v>587</v>
      </c>
      <c r="B28" s="1252">
        <v>2394</v>
      </c>
      <c r="C28" s="1253">
        <f>(D28*1000)/B28</f>
        <v>2677.527151211362</v>
      </c>
      <c r="D28" s="1262">
        <v>6410</v>
      </c>
      <c r="E28" s="1252">
        <v>1204</v>
      </c>
      <c r="F28" s="1253">
        <f>(G28*1000)/E28</f>
        <v>1839.700996677741</v>
      </c>
      <c r="G28" s="1262">
        <v>2215</v>
      </c>
      <c r="H28" s="1258">
        <v>60.5</v>
      </c>
      <c r="I28" s="1253">
        <f>(J28*1000)/H28</f>
        <v>3619.8347107438017</v>
      </c>
      <c r="J28" s="1260">
        <v>219</v>
      </c>
      <c r="K28" s="549" t="s">
        <v>587</v>
      </c>
    </row>
    <row r="29" spans="1:11" ht="21.75" customHeight="1">
      <c r="A29" s="551"/>
      <c r="B29" s="1258"/>
      <c r="C29" s="1259"/>
      <c r="D29" s="1260"/>
      <c r="E29" s="1252"/>
      <c r="F29" s="1261"/>
      <c r="G29" s="1262"/>
      <c r="H29" s="1258"/>
      <c r="I29" s="1259"/>
      <c r="J29" s="1260"/>
      <c r="K29" s="549"/>
    </row>
    <row r="30" spans="1:11" ht="21.75" customHeight="1">
      <c r="A30" s="554" t="s">
        <v>1287</v>
      </c>
      <c r="B30" s="1250" t="s">
        <v>464</v>
      </c>
      <c r="C30" s="1251" t="s">
        <v>464</v>
      </c>
      <c r="D30" s="586" t="s">
        <v>464</v>
      </c>
      <c r="E30" s="1250" t="s">
        <v>464</v>
      </c>
      <c r="F30" s="1251" t="s">
        <v>464</v>
      </c>
      <c r="G30" s="586" t="s">
        <v>464</v>
      </c>
      <c r="H30" s="1250" t="s">
        <v>464</v>
      </c>
      <c r="I30" s="1251" t="s">
        <v>464</v>
      </c>
      <c r="J30" s="586" t="s">
        <v>464</v>
      </c>
      <c r="K30" s="555" t="s">
        <v>1287</v>
      </c>
    </row>
    <row r="31" spans="1:11" ht="21.75" customHeight="1">
      <c r="A31" s="551" t="s">
        <v>1273</v>
      </c>
      <c r="B31" s="1250" t="s">
        <v>464</v>
      </c>
      <c r="C31" s="1251" t="s">
        <v>464</v>
      </c>
      <c r="D31" s="586" t="s">
        <v>464</v>
      </c>
      <c r="E31" s="1250" t="s">
        <v>464</v>
      </c>
      <c r="F31" s="1251" t="s">
        <v>464</v>
      </c>
      <c r="G31" s="586" t="s">
        <v>464</v>
      </c>
      <c r="H31" s="1250" t="s">
        <v>464</v>
      </c>
      <c r="I31" s="1251" t="s">
        <v>464</v>
      </c>
      <c r="J31" s="586" t="s">
        <v>464</v>
      </c>
      <c r="K31" s="549" t="s">
        <v>1273</v>
      </c>
    </row>
    <row r="32" spans="1:11" ht="21.75" customHeight="1">
      <c r="A32" s="551" t="s">
        <v>596</v>
      </c>
      <c r="B32" s="1250" t="s">
        <v>464</v>
      </c>
      <c r="C32" s="1251" t="s">
        <v>464</v>
      </c>
      <c r="D32" s="586" t="s">
        <v>464</v>
      </c>
      <c r="E32" s="1250" t="s">
        <v>464</v>
      </c>
      <c r="F32" s="1251" t="s">
        <v>464</v>
      </c>
      <c r="G32" s="586" t="s">
        <v>464</v>
      </c>
      <c r="H32" s="1250" t="s">
        <v>464</v>
      </c>
      <c r="I32" s="1251" t="s">
        <v>464</v>
      </c>
      <c r="J32" s="586" t="s">
        <v>464</v>
      </c>
      <c r="K32" s="549" t="s">
        <v>596</v>
      </c>
    </row>
    <row r="33" spans="1:11" ht="21.75" customHeight="1" thickBot="1">
      <c r="A33" s="556" t="s">
        <v>595</v>
      </c>
      <c r="B33" s="1275" t="s">
        <v>464</v>
      </c>
      <c r="C33" s="1276" t="s">
        <v>464</v>
      </c>
      <c r="D33" s="1277" t="s">
        <v>464</v>
      </c>
      <c r="E33" s="1880" t="s">
        <v>464</v>
      </c>
      <c r="F33" s="1580" t="s">
        <v>464</v>
      </c>
      <c r="G33" s="1881" t="s">
        <v>464</v>
      </c>
      <c r="H33" s="1275" t="s">
        <v>464</v>
      </c>
      <c r="I33" s="1276" t="s">
        <v>464</v>
      </c>
      <c r="J33" s="1277" t="s">
        <v>464</v>
      </c>
      <c r="K33" s="557" t="s">
        <v>595</v>
      </c>
    </row>
    <row r="34" spans="1:16" ht="21.7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2"/>
      <c r="N34" s="564"/>
      <c r="O34" s="564"/>
      <c r="P34" s="564"/>
    </row>
    <row r="35" spans="1:11" ht="21.75" customHeight="1" thickBo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2"/>
    </row>
    <row r="36" spans="1:11" ht="21.75" customHeight="1" thickBot="1">
      <c r="A36" s="275"/>
      <c r="B36" s="224" t="s">
        <v>1183</v>
      </c>
      <c r="C36" s="276"/>
      <c r="D36" s="277"/>
      <c r="E36" s="224" t="s">
        <v>682</v>
      </c>
      <c r="F36" s="276"/>
      <c r="G36" s="277"/>
      <c r="H36" s="224" t="s">
        <v>1402</v>
      </c>
      <c r="I36" s="276"/>
      <c r="J36" s="294"/>
      <c r="K36" s="1241"/>
    </row>
    <row r="37" spans="1:11" ht="21.75" customHeight="1">
      <c r="A37" s="228" t="s">
        <v>566</v>
      </c>
      <c r="B37" s="275" t="s">
        <v>567</v>
      </c>
      <c r="C37" s="275" t="s">
        <v>568</v>
      </c>
      <c r="D37" s="275" t="s">
        <v>569</v>
      </c>
      <c r="E37" s="275" t="s">
        <v>567</v>
      </c>
      <c r="F37" s="275" t="s">
        <v>568</v>
      </c>
      <c r="G37" s="275" t="s">
        <v>569</v>
      </c>
      <c r="H37" s="275" t="s">
        <v>567</v>
      </c>
      <c r="I37" s="275" t="s">
        <v>568</v>
      </c>
      <c r="J37" s="275" t="s">
        <v>569</v>
      </c>
      <c r="K37" s="229" t="s">
        <v>570</v>
      </c>
    </row>
    <row r="38" spans="1:11" ht="21.75" customHeight="1">
      <c r="A38" s="228" t="s">
        <v>571</v>
      </c>
      <c r="B38" s="230" t="s">
        <v>572</v>
      </c>
      <c r="C38" s="230" t="s">
        <v>573</v>
      </c>
      <c r="D38" s="230" t="s">
        <v>574</v>
      </c>
      <c r="E38" s="230" t="s">
        <v>572</v>
      </c>
      <c r="F38" s="230" t="s">
        <v>573</v>
      </c>
      <c r="G38" s="230" t="s">
        <v>574</v>
      </c>
      <c r="H38" s="230" t="s">
        <v>572</v>
      </c>
      <c r="I38" s="230" t="s">
        <v>573</v>
      </c>
      <c r="J38" s="230" t="s">
        <v>574</v>
      </c>
      <c r="K38" s="229" t="s">
        <v>575</v>
      </c>
    </row>
    <row r="39" spans="1:11" ht="21.75" customHeight="1" thickBot="1">
      <c r="A39" s="1242"/>
      <c r="B39" s="233" t="s">
        <v>444</v>
      </c>
      <c r="C39" s="233" t="s">
        <v>576</v>
      </c>
      <c r="D39" s="233" t="s">
        <v>577</v>
      </c>
      <c r="E39" s="233" t="s">
        <v>444</v>
      </c>
      <c r="F39" s="233" t="s">
        <v>576</v>
      </c>
      <c r="G39" s="233" t="s">
        <v>577</v>
      </c>
      <c r="H39" s="233" t="s">
        <v>444</v>
      </c>
      <c r="I39" s="233" t="s">
        <v>576</v>
      </c>
      <c r="J39" s="233" t="s">
        <v>577</v>
      </c>
      <c r="K39" s="289"/>
    </row>
    <row r="40" spans="1:256" ht="21.75" customHeight="1" thickBot="1">
      <c r="A40" s="567" t="s">
        <v>578</v>
      </c>
      <c r="B40" s="1243">
        <f>SUM(B46+B53+B59)</f>
        <v>6205</v>
      </c>
      <c r="C40" s="1244">
        <f>(D40*1000)/B40</f>
        <v>1259.0652699435939</v>
      </c>
      <c r="D40" s="1245">
        <f>SUM(D46+D53+D59)</f>
        <v>7812.5</v>
      </c>
      <c r="E40" s="1243">
        <f>SUM(E46+E53+E59)</f>
        <v>2937</v>
      </c>
      <c r="F40" s="1244">
        <f>(G40*1000)/E40</f>
        <v>2340.8239700374534</v>
      </c>
      <c r="G40" s="1245">
        <f>SUM(G46+G53+G59)</f>
        <v>6875</v>
      </c>
      <c r="H40" s="1243">
        <f>SUM(H46+H53+H59+H63)</f>
        <v>2985</v>
      </c>
      <c r="I40" s="1244">
        <f>(J40*1000)/H40</f>
        <v>3381.2395309882745</v>
      </c>
      <c r="J40" s="1246">
        <f>SUM(J46+J53+J59+J63)</f>
        <v>10093</v>
      </c>
      <c r="K40" s="568" t="s">
        <v>579</v>
      </c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  <c r="BA40" s="411"/>
      <c r="BB40" s="411"/>
      <c r="BC40" s="411"/>
      <c r="BD40" s="411"/>
      <c r="BE40" s="411"/>
      <c r="BF40" s="411"/>
      <c r="BG40" s="411"/>
      <c r="BH40" s="411"/>
      <c r="BI40" s="411"/>
      <c r="BJ40" s="411"/>
      <c r="BK40" s="411"/>
      <c r="BL40" s="411"/>
      <c r="BM40" s="411"/>
      <c r="BN40" s="411"/>
      <c r="BO40" s="411"/>
      <c r="BP40" s="411"/>
      <c r="BQ40" s="411"/>
      <c r="BR40" s="411"/>
      <c r="BS40" s="411"/>
      <c r="BT40" s="411"/>
      <c r="BU40" s="411"/>
      <c r="BV40" s="411"/>
      <c r="BW40" s="411"/>
      <c r="BX40" s="411"/>
      <c r="BY40" s="411"/>
      <c r="BZ40" s="411"/>
      <c r="CA40" s="411"/>
      <c r="CB40" s="411"/>
      <c r="CC40" s="411"/>
      <c r="CD40" s="411"/>
      <c r="CE40" s="411"/>
      <c r="CF40" s="411"/>
      <c r="CG40" s="411"/>
      <c r="CH40" s="411"/>
      <c r="CI40" s="411"/>
      <c r="CJ40" s="411"/>
      <c r="CK40" s="411"/>
      <c r="CL40" s="411"/>
      <c r="CM40" s="411"/>
      <c r="CN40" s="411"/>
      <c r="CO40" s="411"/>
      <c r="CP40" s="411"/>
      <c r="CQ40" s="411"/>
      <c r="CR40" s="411"/>
      <c r="CS40" s="411"/>
      <c r="CT40" s="411"/>
      <c r="CU40" s="411"/>
      <c r="CV40" s="411"/>
      <c r="CW40" s="411"/>
      <c r="CX40" s="411"/>
      <c r="CY40" s="411"/>
      <c r="CZ40" s="411"/>
      <c r="DA40" s="411"/>
      <c r="DB40" s="411"/>
      <c r="DC40" s="411"/>
      <c r="DD40" s="411"/>
      <c r="DE40" s="411"/>
      <c r="DF40" s="411"/>
      <c r="DG40" s="411"/>
      <c r="DH40" s="411"/>
      <c r="DI40" s="411"/>
      <c r="DJ40" s="411"/>
      <c r="DK40" s="411"/>
      <c r="DL40" s="411"/>
      <c r="DM40" s="411"/>
      <c r="DN40" s="411"/>
      <c r="DO40" s="411"/>
      <c r="DP40" s="411"/>
      <c r="DQ40" s="411"/>
      <c r="DR40" s="411"/>
      <c r="DS40" s="411"/>
      <c r="DT40" s="411"/>
      <c r="DU40" s="411"/>
      <c r="DV40" s="411"/>
      <c r="DW40" s="411"/>
      <c r="DX40" s="411"/>
      <c r="DY40" s="411"/>
      <c r="DZ40" s="411"/>
      <c r="EA40" s="411"/>
      <c r="EB40" s="411"/>
      <c r="EC40" s="411"/>
      <c r="ED40" s="411"/>
      <c r="EE40" s="411"/>
      <c r="EF40" s="411"/>
      <c r="EG40" s="411"/>
      <c r="EH40" s="411"/>
      <c r="EI40" s="411"/>
      <c r="EJ40" s="411"/>
      <c r="EK40" s="411"/>
      <c r="EL40" s="411"/>
      <c r="EM40" s="411"/>
      <c r="EN40" s="411"/>
      <c r="EO40" s="411"/>
      <c r="EP40" s="411"/>
      <c r="EQ40" s="411"/>
      <c r="ER40" s="411"/>
      <c r="ES40" s="411"/>
      <c r="ET40" s="411"/>
      <c r="EU40" s="411"/>
      <c r="EV40" s="411"/>
      <c r="EW40" s="411"/>
      <c r="EX40" s="411"/>
      <c r="EY40" s="411"/>
      <c r="EZ40" s="411"/>
      <c r="FA40" s="411"/>
      <c r="FB40" s="411"/>
      <c r="FC40" s="411"/>
      <c r="FD40" s="411"/>
      <c r="FE40" s="411"/>
      <c r="FF40" s="411"/>
      <c r="FG40" s="411"/>
      <c r="FH40" s="411"/>
      <c r="FI40" s="411"/>
      <c r="FJ40" s="411"/>
      <c r="FK40" s="411"/>
      <c r="FL40" s="411"/>
      <c r="FM40" s="411"/>
      <c r="FN40" s="411"/>
      <c r="FO40" s="411"/>
      <c r="FP40" s="411"/>
      <c r="FQ40" s="411"/>
      <c r="FR40" s="411"/>
      <c r="FS40" s="411"/>
      <c r="FT40" s="411"/>
      <c r="FU40" s="411"/>
      <c r="FV40" s="411"/>
      <c r="FW40" s="411"/>
      <c r="FX40" s="411"/>
      <c r="FY40" s="411"/>
      <c r="FZ40" s="411"/>
      <c r="GA40" s="411"/>
      <c r="GB40" s="411"/>
      <c r="GC40" s="411"/>
      <c r="GD40" s="411"/>
      <c r="GE40" s="411"/>
      <c r="GF40" s="411"/>
      <c r="GG40" s="411"/>
      <c r="GH40" s="411"/>
      <c r="GI40" s="411"/>
      <c r="GJ40" s="411"/>
      <c r="GK40" s="411"/>
      <c r="GL40" s="411"/>
      <c r="GM40" s="411"/>
      <c r="GN40" s="411"/>
      <c r="GO40" s="411"/>
      <c r="GP40" s="411"/>
      <c r="GQ40" s="411"/>
      <c r="GR40" s="411"/>
      <c r="GS40" s="411"/>
      <c r="GT40" s="411"/>
      <c r="GU40" s="411"/>
      <c r="GV40" s="411"/>
      <c r="GW40" s="411"/>
      <c r="GX40" s="411"/>
      <c r="GY40" s="411"/>
      <c r="GZ40" s="411"/>
      <c r="HA40" s="411"/>
      <c r="HB40" s="411"/>
      <c r="HC40" s="411"/>
      <c r="HD40" s="411"/>
      <c r="HE40" s="411"/>
      <c r="HF40" s="411"/>
      <c r="HG40" s="411"/>
      <c r="HH40" s="411"/>
      <c r="HI40" s="411"/>
      <c r="HJ40" s="411"/>
      <c r="HK40" s="411"/>
      <c r="HL40" s="411"/>
      <c r="HM40" s="411"/>
      <c r="HN40" s="411"/>
      <c r="HO40" s="411"/>
      <c r="HP40" s="411"/>
      <c r="HQ40" s="411"/>
      <c r="HR40" s="411"/>
      <c r="HS40" s="411"/>
      <c r="HT40" s="411"/>
      <c r="HU40" s="411"/>
      <c r="HV40" s="411"/>
      <c r="HW40" s="411"/>
      <c r="HX40" s="411"/>
      <c r="HY40" s="411"/>
      <c r="HZ40" s="411"/>
      <c r="IA40" s="411"/>
      <c r="IB40" s="411"/>
      <c r="IC40" s="411"/>
      <c r="ID40" s="411"/>
      <c r="IE40" s="411"/>
      <c r="IF40" s="411"/>
      <c r="IG40" s="411"/>
      <c r="IH40" s="411"/>
      <c r="II40" s="411"/>
      <c r="IJ40" s="411"/>
      <c r="IK40" s="411"/>
      <c r="IL40" s="411"/>
      <c r="IM40" s="411"/>
      <c r="IN40" s="411"/>
      <c r="IO40" s="411"/>
      <c r="IP40" s="411"/>
      <c r="IQ40" s="411"/>
      <c r="IR40" s="411"/>
      <c r="IS40" s="411"/>
      <c r="IT40" s="411"/>
      <c r="IU40" s="411"/>
      <c r="IV40" s="411"/>
    </row>
    <row r="41" spans="1:256" ht="21.75" customHeight="1">
      <c r="A41" s="412" t="s">
        <v>580</v>
      </c>
      <c r="B41" s="1247" t="s">
        <v>464</v>
      </c>
      <c r="C41" s="1248" t="s">
        <v>464</v>
      </c>
      <c r="D41" s="1249" t="s">
        <v>464</v>
      </c>
      <c r="E41" s="1247" t="s">
        <v>464</v>
      </c>
      <c r="F41" s="1248" t="s">
        <v>464</v>
      </c>
      <c r="G41" s="1249" t="s">
        <v>464</v>
      </c>
      <c r="H41" s="1247" t="s">
        <v>464</v>
      </c>
      <c r="I41" s="1248" t="s">
        <v>464</v>
      </c>
      <c r="J41" s="1249" t="s">
        <v>464</v>
      </c>
      <c r="K41" s="548" t="s">
        <v>581</v>
      </c>
      <c r="L41" s="264"/>
      <c r="M41" s="264"/>
      <c r="N41" s="264"/>
      <c r="O41" s="264"/>
      <c r="P41" s="264"/>
      <c r="Q41" s="411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64"/>
      <c r="AZ41" s="264"/>
      <c r="BA41" s="264"/>
      <c r="BB41" s="264"/>
      <c r="BC41" s="264"/>
      <c r="BD41" s="264"/>
      <c r="BE41" s="264"/>
      <c r="BF41" s="264"/>
      <c r="BG41" s="264"/>
      <c r="BH41" s="264"/>
      <c r="BI41" s="264"/>
      <c r="BJ41" s="264"/>
      <c r="BK41" s="264"/>
      <c r="BL41" s="264"/>
      <c r="BM41" s="264"/>
      <c r="BN41" s="264"/>
      <c r="BO41" s="264"/>
      <c r="BP41" s="264"/>
      <c r="BQ41" s="264"/>
      <c r="BR41" s="264"/>
      <c r="BS41" s="264"/>
      <c r="BT41" s="264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4"/>
      <c r="EG41" s="264"/>
      <c r="EH41" s="264"/>
      <c r="EI41" s="264"/>
      <c r="EJ41" s="264"/>
      <c r="EK41" s="264"/>
      <c r="EL41" s="264"/>
      <c r="EM41" s="264"/>
      <c r="EN41" s="264"/>
      <c r="EO41" s="264"/>
      <c r="EP41" s="264"/>
      <c r="EQ41" s="264"/>
      <c r="ER41" s="264"/>
      <c r="ES41" s="264"/>
      <c r="ET41" s="264"/>
      <c r="EU41" s="264"/>
      <c r="EV41" s="264"/>
      <c r="EW41" s="264"/>
      <c r="EX41" s="264"/>
      <c r="EY41" s="264"/>
      <c r="EZ41" s="264"/>
      <c r="FA41" s="264"/>
      <c r="FB41" s="264"/>
      <c r="FC41" s="264"/>
      <c r="FD41" s="264"/>
      <c r="FE41" s="264"/>
      <c r="FF41" s="264"/>
      <c r="FG41" s="264"/>
      <c r="FH41" s="264"/>
      <c r="FI41" s="264"/>
      <c r="FJ41" s="264"/>
      <c r="FK41" s="264"/>
      <c r="FL41" s="264"/>
      <c r="FM41" s="264"/>
      <c r="FN41" s="264"/>
      <c r="FO41" s="264"/>
      <c r="FP41" s="264"/>
      <c r="FQ41" s="264"/>
      <c r="FR41" s="264"/>
      <c r="FS41" s="264"/>
      <c r="FT41" s="264"/>
      <c r="FU41" s="264"/>
      <c r="FV41" s="264"/>
      <c r="FW41" s="264"/>
      <c r="FX41" s="264"/>
      <c r="FY41" s="264"/>
      <c r="FZ41" s="264"/>
      <c r="GA41" s="264"/>
      <c r="GB41" s="264"/>
      <c r="GC41" s="264"/>
      <c r="GD41" s="264"/>
      <c r="GE41" s="264"/>
      <c r="GF41" s="264"/>
      <c r="GG41" s="264"/>
      <c r="GH41" s="264"/>
      <c r="GI41" s="264"/>
      <c r="GJ41" s="264"/>
      <c r="GK41" s="264"/>
      <c r="GL41" s="264"/>
      <c r="GM41" s="264"/>
      <c r="GN41" s="264"/>
      <c r="GO41" s="264"/>
      <c r="GP41" s="264"/>
      <c r="GQ41" s="264"/>
      <c r="GR41" s="264"/>
      <c r="GS41" s="264"/>
      <c r="GT41" s="264"/>
      <c r="GU41" s="264"/>
      <c r="GV41" s="264"/>
      <c r="GW41" s="264"/>
      <c r="GX41" s="264"/>
      <c r="GY41" s="264"/>
      <c r="GZ41" s="264"/>
      <c r="HA41" s="264"/>
      <c r="HB41" s="264"/>
      <c r="HC41" s="264"/>
      <c r="HD41" s="264"/>
      <c r="HE41" s="264"/>
      <c r="HF41" s="264"/>
      <c r="HG41" s="264"/>
      <c r="HH41" s="264"/>
      <c r="HI41" s="264"/>
      <c r="HJ41" s="264"/>
      <c r="HK41" s="264"/>
      <c r="HL41" s="264"/>
      <c r="HM41" s="264"/>
      <c r="HN41" s="264"/>
      <c r="HO41" s="264"/>
      <c r="HP41" s="264"/>
      <c r="HQ41" s="264"/>
      <c r="HR41" s="264"/>
      <c r="HS41" s="264"/>
      <c r="HT41" s="264"/>
      <c r="HU41" s="264"/>
      <c r="HV41" s="264"/>
      <c r="HW41" s="264"/>
      <c r="HX41" s="264"/>
      <c r="HY41" s="264"/>
      <c r="HZ41" s="264"/>
      <c r="IA41" s="264"/>
      <c r="IB41" s="264"/>
      <c r="IC41" s="264"/>
      <c r="ID41" s="264"/>
      <c r="IE41" s="264"/>
      <c r="IF41" s="264"/>
      <c r="IG41" s="264"/>
      <c r="IH41" s="264"/>
      <c r="II41" s="264"/>
      <c r="IJ41" s="264"/>
      <c r="IK41" s="264"/>
      <c r="IL41" s="264"/>
      <c r="IM41" s="264"/>
      <c r="IN41" s="264"/>
      <c r="IO41" s="264"/>
      <c r="IP41" s="264"/>
      <c r="IQ41" s="264"/>
      <c r="IR41" s="264"/>
      <c r="IS41" s="264"/>
      <c r="IT41" s="264"/>
      <c r="IU41" s="264"/>
      <c r="IV41" s="264"/>
    </row>
    <row r="42" spans="1:11" ht="21.75" customHeight="1">
      <c r="A42" s="413" t="s">
        <v>582</v>
      </c>
      <c r="B42" s="1250" t="s">
        <v>464</v>
      </c>
      <c r="C42" s="1251" t="s">
        <v>464</v>
      </c>
      <c r="D42" s="586" t="s">
        <v>464</v>
      </c>
      <c r="E42" s="1250" t="s">
        <v>464</v>
      </c>
      <c r="F42" s="1251" t="s">
        <v>464</v>
      </c>
      <c r="G42" s="586" t="s">
        <v>464</v>
      </c>
      <c r="H42" s="1250" t="s">
        <v>464</v>
      </c>
      <c r="I42" s="1251" t="s">
        <v>464</v>
      </c>
      <c r="J42" s="586" t="s">
        <v>464</v>
      </c>
      <c r="K42" s="549" t="s">
        <v>583</v>
      </c>
    </row>
    <row r="43" spans="1:11" ht="21.75" customHeight="1">
      <c r="A43" s="413" t="s">
        <v>584</v>
      </c>
      <c r="B43" s="1250" t="s">
        <v>464</v>
      </c>
      <c r="C43" s="1251" t="s">
        <v>464</v>
      </c>
      <c r="D43" s="586" t="s">
        <v>464</v>
      </c>
      <c r="E43" s="1250" t="s">
        <v>464</v>
      </c>
      <c r="F43" s="1251" t="s">
        <v>464</v>
      </c>
      <c r="G43" s="586" t="s">
        <v>464</v>
      </c>
      <c r="H43" s="1250" t="s">
        <v>464</v>
      </c>
      <c r="I43" s="1251" t="s">
        <v>464</v>
      </c>
      <c r="J43" s="586" t="s">
        <v>464</v>
      </c>
      <c r="K43" s="549" t="s">
        <v>584</v>
      </c>
    </row>
    <row r="44" spans="1:11" ht="21.75" customHeight="1">
      <c r="A44" s="413" t="s">
        <v>585</v>
      </c>
      <c r="B44" s="1250" t="s">
        <v>464</v>
      </c>
      <c r="C44" s="1251" t="s">
        <v>464</v>
      </c>
      <c r="D44" s="586" t="s">
        <v>464</v>
      </c>
      <c r="E44" s="1250" t="s">
        <v>464</v>
      </c>
      <c r="F44" s="1251" t="s">
        <v>464</v>
      </c>
      <c r="G44" s="586" t="s">
        <v>464</v>
      </c>
      <c r="H44" s="1250" t="s">
        <v>464</v>
      </c>
      <c r="I44" s="1251" t="s">
        <v>464</v>
      </c>
      <c r="J44" s="586" t="s">
        <v>464</v>
      </c>
      <c r="K44" s="549" t="s">
        <v>585</v>
      </c>
    </row>
    <row r="45" spans="1:11" ht="21.75" customHeight="1">
      <c r="A45" s="413"/>
      <c r="B45" s="1252"/>
      <c r="C45" s="1253"/>
      <c r="D45" s="1254"/>
      <c r="E45" s="1252"/>
      <c r="F45" s="1253"/>
      <c r="G45" s="1254"/>
      <c r="H45" s="1252"/>
      <c r="I45" s="1253"/>
      <c r="J45" s="1254"/>
      <c r="K45" s="549"/>
    </row>
    <row r="46" spans="1:11" ht="21.75" customHeight="1">
      <c r="A46" s="414" t="s">
        <v>588</v>
      </c>
      <c r="B46" s="1255">
        <f>SUM(B47:B51)</f>
        <v>40</v>
      </c>
      <c r="C46" s="1256">
        <f>(D46*1000)/B46</f>
        <v>2500</v>
      </c>
      <c r="D46" s="1257">
        <f>SUM(D47:D51)</f>
        <v>100</v>
      </c>
      <c r="E46" s="1255">
        <f>SUM(E47:E51)</f>
        <v>108</v>
      </c>
      <c r="F46" s="1256">
        <f>(G46*1000)/E46</f>
        <v>694.4444444444445</v>
      </c>
      <c r="G46" s="1257">
        <f>SUM(G47:G51)</f>
        <v>75</v>
      </c>
      <c r="H46" s="1255">
        <f>SUM(H47:H51)</f>
        <v>19</v>
      </c>
      <c r="I46" s="1256">
        <f>(J46*1000)/H46</f>
        <v>2052.6315789473683</v>
      </c>
      <c r="J46" s="1257">
        <f>SUM(J47:J51)</f>
        <v>39</v>
      </c>
      <c r="K46" s="550" t="s">
        <v>589</v>
      </c>
    </row>
    <row r="47" spans="1:11" ht="21.75" customHeight="1">
      <c r="A47" s="413" t="s">
        <v>590</v>
      </c>
      <c r="B47" s="1252">
        <v>13</v>
      </c>
      <c r="C47" s="1264">
        <f>(D47*1000)/B47</f>
        <v>3846.153846153846</v>
      </c>
      <c r="D47" s="1254">
        <v>50</v>
      </c>
      <c r="E47" s="1252">
        <v>2</v>
      </c>
      <c r="F47" s="1253">
        <f>(G47*1000)/E47</f>
        <v>1000</v>
      </c>
      <c r="G47" s="1254">
        <v>2</v>
      </c>
      <c r="H47" s="1252">
        <v>10</v>
      </c>
      <c r="I47" s="1264">
        <f>(J47*1000)/H47</f>
        <v>1200</v>
      </c>
      <c r="J47" s="1254">
        <v>12</v>
      </c>
      <c r="K47" s="549" t="s">
        <v>591</v>
      </c>
    </row>
    <row r="48" spans="1:256" ht="21.75" customHeight="1">
      <c r="A48" s="413" t="s">
        <v>592</v>
      </c>
      <c r="B48" s="1252">
        <v>20</v>
      </c>
      <c r="C48" s="1264">
        <f>(D48*1000)/B48</f>
        <v>2500</v>
      </c>
      <c r="D48" s="1254">
        <v>50</v>
      </c>
      <c r="E48" s="1252">
        <v>72</v>
      </c>
      <c r="F48" s="1253">
        <f>(G48*1000)/E48</f>
        <v>0</v>
      </c>
      <c r="G48" s="1254"/>
      <c r="H48" s="1250" t="s">
        <v>464</v>
      </c>
      <c r="I48" s="1251" t="s">
        <v>464</v>
      </c>
      <c r="J48" s="586" t="s">
        <v>464</v>
      </c>
      <c r="K48" s="549" t="s">
        <v>593</v>
      </c>
      <c r="L48" s="264"/>
      <c r="M48" s="264"/>
      <c r="N48" s="264"/>
      <c r="O48" s="264"/>
      <c r="P48" s="264"/>
      <c r="Q48" s="411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4"/>
      <c r="AT48" s="264"/>
      <c r="AU48" s="264"/>
      <c r="AV48" s="264"/>
      <c r="AW48" s="264"/>
      <c r="AX48" s="264"/>
      <c r="AY48" s="264"/>
      <c r="AZ48" s="264"/>
      <c r="BA48" s="264"/>
      <c r="BB48" s="264"/>
      <c r="BC48" s="264"/>
      <c r="BD48" s="264"/>
      <c r="BE48" s="264"/>
      <c r="BF48" s="264"/>
      <c r="BG48" s="264"/>
      <c r="BH48" s="264"/>
      <c r="BI48" s="264"/>
      <c r="BJ48" s="264"/>
      <c r="BK48" s="264"/>
      <c r="BL48" s="264"/>
      <c r="BM48" s="264"/>
      <c r="BN48" s="264"/>
      <c r="BO48" s="264"/>
      <c r="BP48" s="264"/>
      <c r="BQ48" s="264"/>
      <c r="BR48" s="264"/>
      <c r="BS48" s="264"/>
      <c r="BT48" s="264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4"/>
      <c r="DP48" s="264"/>
      <c r="DQ48" s="264"/>
      <c r="DR48" s="264"/>
      <c r="DS48" s="264"/>
      <c r="DT48" s="264"/>
      <c r="DU48" s="264"/>
      <c r="DV48" s="264"/>
      <c r="DW48" s="264"/>
      <c r="DX48" s="264"/>
      <c r="DY48" s="264"/>
      <c r="DZ48" s="264"/>
      <c r="EA48" s="264"/>
      <c r="EB48" s="264"/>
      <c r="EC48" s="264"/>
      <c r="ED48" s="264"/>
      <c r="EE48" s="264"/>
      <c r="EF48" s="264"/>
      <c r="EG48" s="264"/>
      <c r="EH48" s="264"/>
      <c r="EI48" s="264"/>
      <c r="EJ48" s="264"/>
      <c r="EK48" s="264"/>
      <c r="EL48" s="264"/>
      <c r="EM48" s="264"/>
      <c r="EN48" s="264"/>
      <c r="EO48" s="264"/>
      <c r="EP48" s="264"/>
      <c r="EQ48" s="264"/>
      <c r="ER48" s="264"/>
      <c r="ES48" s="264"/>
      <c r="ET48" s="264"/>
      <c r="EU48" s="264"/>
      <c r="EV48" s="264"/>
      <c r="EW48" s="264"/>
      <c r="EX48" s="264"/>
      <c r="EY48" s="264"/>
      <c r="EZ48" s="264"/>
      <c r="FA48" s="264"/>
      <c r="FB48" s="264"/>
      <c r="FC48" s="264"/>
      <c r="FD48" s="264"/>
      <c r="FE48" s="264"/>
      <c r="FF48" s="264"/>
      <c r="FG48" s="264"/>
      <c r="FH48" s="264"/>
      <c r="FI48" s="264"/>
      <c r="FJ48" s="264"/>
      <c r="FK48" s="264"/>
      <c r="FL48" s="264"/>
      <c r="FM48" s="264"/>
      <c r="FN48" s="264"/>
      <c r="FO48" s="264"/>
      <c r="FP48" s="264"/>
      <c r="FQ48" s="264"/>
      <c r="FR48" s="264"/>
      <c r="FS48" s="264"/>
      <c r="FT48" s="264"/>
      <c r="FU48" s="264"/>
      <c r="FV48" s="264"/>
      <c r="FW48" s="264"/>
      <c r="FX48" s="264"/>
      <c r="FY48" s="264"/>
      <c r="FZ48" s="264"/>
      <c r="GA48" s="264"/>
      <c r="GB48" s="264"/>
      <c r="GC48" s="264"/>
      <c r="GD48" s="264"/>
      <c r="GE48" s="264"/>
      <c r="GF48" s="264"/>
      <c r="GG48" s="264"/>
      <c r="GH48" s="264"/>
      <c r="GI48" s="264"/>
      <c r="GJ48" s="264"/>
      <c r="GK48" s="264"/>
      <c r="GL48" s="264"/>
      <c r="GM48" s="264"/>
      <c r="GN48" s="264"/>
      <c r="GO48" s="264"/>
      <c r="GP48" s="264"/>
      <c r="GQ48" s="264"/>
      <c r="GR48" s="264"/>
      <c r="GS48" s="264"/>
      <c r="GT48" s="264"/>
      <c r="GU48" s="264"/>
      <c r="GV48" s="264"/>
      <c r="GW48" s="264"/>
      <c r="GX48" s="264"/>
      <c r="GY48" s="264"/>
      <c r="GZ48" s="264"/>
      <c r="HA48" s="264"/>
      <c r="HB48" s="264"/>
      <c r="HC48" s="264"/>
      <c r="HD48" s="264"/>
      <c r="HE48" s="264"/>
      <c r="HF48" s="264"/>
      <c r="HG48" s="264"/>
      <c r="HH48" s="264"/>
      <c r="HI48" s="264"/>
      <c r="HJ48" s="264"/>
      <c r="HK48" s="264"/>
      <c r="HL48" s="264"/>
      <c r="HM48" s="264"/>
      <c r="HN48" s="264"/>
      <c r="HO48" s="264"/>
      <c r="HP48" s="264"/>
      <c r="HQ48" s="264"/>
      <c r="HR48" s="264"/>
      <c r="HS48" s="264"/>
      <c r="HT48" s="264"/>
      <c r="HU48" s="264"/>
      <c r="HV48" s="264"/>
      <c r="HW48" s="264"/>
      <c r="HX48" s="264"/>
      <c r="HY48" s="264"/>
      <c r="HZ48" s="264"/>
      <c r="IA48" s="264"/>
      <c r="IB48" s="264"/>
      <c r="IC48" s="264"/>
      <c r="ID48" s="264"/>
      <c r="IE48" s="264"/>
      <c r="IF48" s="264"/>
      <c r="IG48" s="264"/>
      <c r="IH48" s="264"/>
      <c r="II48" s="264"/>
      <c r="IJ48" s="264"/>
      <c r="IK48" s="264"/>
      <c r="IL48" s="264"/>
      <c r="IM48" s="264"/>
      <c r="IN48" s="264"/>
      <c r="IO48" s="264"/>
      <c r="IP48" s="264"/>
      <c r="IQ48" s="264"/>
      <c r="IR48" s="264"/>
      <c r="IS48" s="264"/>
      <c r="IT48" s="264"/>
      <c r="IU48" s="264"/>
      <c r="IV48" s="264"/>
    </row>
    <row r="49" spans="1:11" ht="21.75" customHeight="1">
      <c r="A49" s="413" t="s">
        <v>594</v>
      </c>
      <c r="B49" s="1250" t="s">
        <v>464</v>
      </c>
      <c r="C49" s="1251" t="s">
        <v>464</v>
      </c>
      <c r="D49" s="586" t="s">
        <v>464</v>
      </c>
      <c r="E49" s="1252">
        <v>34</v>
      </c>
      <c r="F49" s="1253">
        <f>(G49*1000)/E49</f>
        <v>2147.0588235294117</v>
      </c>
      <c r="G49" s="1254">
        <v>73</v>
      </c>
      <c r="H49" s="1252">
        <v>9</v>
      </c>
      <c r="I49" s="1264">
        <f>(J49*1000)/H49</f>
        <v>3000</v>
      </c>
      <c r="J49" s="1254">
        <v>27</v>
      </c>
      <c r="K49" s="549" t="s">
        <v>594</v>
      </c>
    </row>
    <row r="50" spans="1:11" ht="21.75" customHeight="1">
      <c r="A50" s="413" t="s">
        <v>599</v>
      </c>
      <c r="B50" s="1252">
        <v>7</v>
      </c>
      <c r="C50" s="1264">
        <f>(D50*1000)/B50</f>
        <v>0</v>
      </c>
      <c r="D50" s="1254"/>
      <c r="E50" s="1250" t="s">
        <v>464</v>
      </c>
      <c r="F50" s="1251" t="s">
        <v>464</v>
      </c>
      <c r="G50" s="586" t="s">
        <v>464</v>
      </c>
      <c r="H50" s="1250" t="s">
        <v>464</v>
      </c>
      <c r="I50" s="1251" t="s">
        <v>464</v>
      </c>
      <c r="J50" s="586" t="s">
        <v>464</v>
      </c>
      <c r="K50" s="549" t="s">
        <v>599</v>
      </c>
    </row>
    <row r="51" spans="1:11" ht="21.75" customHeight="1">
      <c r="A51" s="413" t="s">
        <v>598</v>
      </c>
      <c r="B51" s="1250" t="s">
        <v>464</v>
      </c>
      <c r="C51" s="1251" t="s">
        <v>464</v>
      </c>
      <c r="D51" s="586" t="s">
        <v>464</v>
      </c>
      <c r="E51" s="1250" t="s">
        <v>464</v>
      </c>
      <c r="F51" s="1251" t="s">
        <v>464</v>
      </c>
      <c r="G51" s="586" t="s">
        <v>464</v>
      </c>
      <c r="H51" s="1250" t="s">
        <v>464</v>
      </c>
      <c r="I51" s="1251" t="s">
        <v>464</v>
      </c>
      <c r="J51" s="586" t="s">
        <v>464</v>
      </c>
      <c r="K51" s="549" t="s">
        <v>598</v>
      </c>
    </row>
    <row r="52" spans="1:11" ht="21.75" customHeight="1">
      <c r="A52" s="551"/>
      <c r="B52" s="1252"/>
      <c r="C52" s="1261"/>
      <c r="D52" s="1262"/>
      <c r="E52" s="1252"/>
      <c r="F52" s="1261"/>
      <c r="G52" s="1262"/>
      <c r="H52" s="1252"/>
      <c r="I52" s="1261"/>
      <c r="J52" s="1262"/>
      <c r="K52" s="549"/>
    </row>
    <row r="53" spans="1:11" ht="21.75" customHeight="1">
      <c r="A53" s="414" t="s">
        <v>601</v>
      </c>
      <c r="B53" s="1255">
        <f>SUM(B54:B57)</f>
        <v>66</v>
      </c>
      <c r="C53" s="1256">
        <f>(D53*1000)/B53</f>
        <v>1545.4545454545455</v>
      </c>
      <c r="D53" s="1257">
        <f>SUM(D54:D57)</f>
        <v>102</v>
      </c>
      <c r="E53" s="1255">
        <f>SUM(E54:E57)</f>
        <v>1076</v>
      </c>
      <c r="F53" s="1256">
        <f>(G53*1000)/E53</f>
        <v>873.6059479553903</v>
      </c>
      <c r="G53" s="1257">
        <f>SUM(G54:G57)</f>
        <v>940</v>
      </c>
      <c r="H53" s="1255">
        <f>SUM(H54:H57)</f>
        <v>9</v>
      </c>
      <c r="I53" s="1256">
        <f>(J53*1000)/H53</f>
        <v>2444.4444444444443</v>
      </c>
      <c r="J53" s="1257">
        <f>SUM(J54:J57)</f>
        <v>22</v>
      </c>
      <c r="K53" s="550" t="s">
        <v>602</v>
      </c>
    </row>
    <row r="54" spans="1:11" ht="21.75" customHeight="1">
      <c r="A54" s="413" t="s">
        <v>603</v>
      </c>
      <c r="B54" s="1263">
        <v>14</v>
      </c>
      <c r="C54" s="1253">
        <f>(D54*1000)/B54</f>
        <v>1285.7142857142858</v>
      </c>
      <c r="D54" s="1254">
        <v>18</v>
      </c>
      <c r="E54" s="1263">
        <v>252</v>
      </c>
      <c r="F54" s="1253">
        <f>(G54*1000)/E54</f>
        <v>484.12698412698415</v>
      </c>
      <c r="G54" s="1254">
        <v>122</v>
      </c>
      <c r="H54" s="1250" t="s">
        <v>464</v>
      </c>
      <c r="I54" s="1251" t="s">
        <v>464</v>
      </c>
      <c r="J54" s="586" t="s">
        <v>464</v>
      </c>
      <c r="K54" s="549" t="s">
        <v>604</v>
      </c>
    </row>
    <row r="55" spans="1:11" ht="21.75" customHeight="1">
      <c r="A55" s="413" t="s">
        <v>605</v>
      </c>
      <c r="B55" s="1252">
        <v>22</v>
      </c>
      <c r="C55" s="1253">
        <f>(D55*1000)/B55</f>
        <v>2000</v>
      </c>
      <c r="D55" s="1254">
        <v>44</v>
      </c>
      <c r="E55" s="1252">
        <v>675</v>
      </c>
      <c r="F55" s="1253">
        <f>(G55*1000)/E55</f>
        <v>1000</v>
      </c>
      <c r="G55" s="1254">
        <v>675</v>
      </c>
      <c r="H55" s="1250" t="s">
        <v>464</v>
      </c>
      <c r="I55" s="1251" t="s">
        <v>464</v>
      </c>
      <c r="J55" s="586" t="s">
        <v>464</v>
      </c>
      <c r="K55" s="549" t="s">
        <v>606</v>
      </c>
    </row>
    <row r="56" spans="1:11" ht="21.75" customHeight="1">
      <c r="A56" s="413" t="s">
        <v>607</v>
      </c>
      <c r="B56" s="1250" t="s">
        <v>464</v>
      </c>
      <c r="C56" s="1251" t="s">
        <v>464</v>
      </c>
      <c r="D56" s="586" t="s">
        <v>464</v>
      </c>
      <c r="E56" s="1250" t="s">
        <v>464</v>
      </c>
      <c r="F56" s="1251" t="s">
        <v>464</v>
      </c>
      <c r="G56" s="586" t="s">
        <v>464</v>
      </c>
      <c r="H56" s="1250" t="s">
        <v>464</v>
      </c>
      <c r="I56" s="1251" t="s">
        <v>464</v>
      </c>
      <c r="J56" s="586" t="s">
        <v>464</v>
      </c>
      <c r="K56" s="549" t="s">
        <v>607</v>
      </c>
    </row>
    <row r="57" spans="1:11" ht="21.75" customHeight="1">
      <c r="A57" s="413" t="s">
        <v>608</v>
      </c>
      <c r="B57" s="1252">
        <v>30</v>
      </c>
      <c r="C57" s="1253">
        <f>(D57*1000)/B57</f>
        <v>1333.3333333333333</v>
      </c>
      <c r="D57" s="1254">
        <v>40</v>
      </c>
      <c r="E57" s="1252">
        <v>149</v>
      </c>
      <c r="F57" s="1253">
        <f>(G57*1000)/E57</f>
        <v>959.7315436241611</v>
      </c>
      <c r="G57" s="1254">
        <v>143</v>
      </c>
      <c r="H57" s="1252">
        <v>9</v>
      </c>
      <c r="I57" s="1253">
        <f>(J57*1000)/H57</f>
        <v>2444.4444444444443</v>
      </c>
      <c r="J57" s="1254">
        <v>22</v>
      </c>
      <c r="K57" s="549" t="s">
        <v>608</v>
      </c>
    </row>
    <row r="58" spans="1:256" ht="21.75" customHeight="1">
      <c r="A58" s="552"/>
      <c r="B58" s="1255"/>
      <c r="C58" s="1268"/>
      <c r="D58" s="1269"/>
      <c r="E58" s="1255"/>
      <c r="F58" s="1268"/>
      <c r="G58" s="1269"/>
      <c r="H58" s="1255"/>
      <c r="I58" s="1268"/>
      <c r="J58" s="1269"/>
      <c r="K58" s="553"/>
      <c r="L58" s="264"/>
      <c r="M58" s="264"/>
      <c r="N58" s="264"/>
      <c r="O58" s="264"/>
      <c r="P58" s="264"/>
      <c r="Q58" s="411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BZ58" s="264"/>
      <c r="CA58" s="264"/>
      <c r="CB58" s="264"/>
      <c r="CC58" s="264"/>
      <c r="CD58" s="264"/>
      <c r="CE58" s="264"/>
      <c r="CF58" s="264"/>
      <c r="CG58" s="264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264"/>
      <c r="DP58" s="264"/>
      <c r="DQ58" s="264"/>
      <c r="DR58" s="264"/>
      <c r="DS58" s="264"/>
      <c r="DT58" s="264"/>
      <c r="DU58" s="264"/>
      <c r="DV58" s="264"/>
      <c r="DW58" s="264"/>
      <c r="DX58" s="264"/>
      <c r="DY58" s="264"/>
      <c r="DZ58" s="264"/>
      <c r="EA58" s="264"/>
      <c r="EB58" s="264"/>
      <c r="EC58" s="264"/>
      <c r="ED58" s="264"/>
      <c r="EE58" s="264"/>
      <c r="EF58" s="264"/>
      <c r="EG58" s="264"/>
      <c r="EH58" s="264"/>
      <c r="EI58" s="264"/>
      <c r="EJ58" s="264"/>
      <c r="EK58" s="264"/>
      <c r="EL58" s="264"/>
      <c r="EM58" s="264"/>
      <c r="EN58" s="264"/>
      <c r="EO58" s="264"/>
      <c r="EP58" s="264"/>
      <c r="EQ58" s="264"/>
      <c r="ER58" s="264"/>
      <c r="ES58" s="264"/>
      <c r="ET58" s="264"/>
      <c r="EU58" s="264"/>
      <c r="EV58" s="264"/>
      <c r="EW58" s="264"/>
      <c r="EX58" s="264"/>
      <c r="EY58" s="264"/>
      <c r="EZ58" s="264"/>
      <c r="FA58" s="264"/>
      <c r="FB58" s="264"/>
      <c r="FC58" s="264"/>
      <c r="FD58" s="264"/>
      <c r="FE58" s="264"/>
      <c r="FF58" s="264"/>
      <c r="FG58" s="264"/>
      <c r="FH58" s="264"/>
      <c r="FI58" s="264"/>
      <c r="FJ58" s="264"/>
      <c r="FK58" s="264"/>
      <c r="FL58" s="264"/>
      <c r="FM58" s="264"/>
      <c r="FN58" s="264"/>
      <c r="FO58" s="264"/>
      <c r="FP58" s="264"/>
      <c r="FQ58" s="264"/>
      <c r="FR58" s="264"/>
      <c r="FS58" s="264"/>
      <c r="FT58" s="264"/>
      <c r="FU58" s="264"/>
      <c r="FV58" s="264"/>
      <c r="FW58" s="264"/>
      <c r="FX58" s="264"/>
      <c r="FY58" s="264"/>
      <c r="FZ58" s="264"/>
      <c r="GA58" s="264"/>
      <c r="GB58" s="264"/>
      <c r="GC58" s="264"/>
      <c r="GD58" s="264"/>
      <c r="GE58" s="264"/>
      <c r="GF58" s="264"/>
      <c r="GG58" s="264"/>
      <c r="GH58" s="264"/>
      <c r="GI58" s="264"/>
      <c r="GJ58" s="264"/>
      <c r="GK58" s="264"/>
      <c r="GL58" s="264"/>
      <c r="GM58" s="264"/>
      <c r="GN58" s="264"/>
      <c r="GO58" s="264"/>
      <c r="GP58" s="264"/>
      <c r="GQ58" s="264"/>
      <c r="GR58" s="264"/>
      <c r="GS58" s="264"/>
      <c r="GT58" s="264"/>
      <c r="GU58" s="264"/>
      <c r="GV58" s="264"/>
      <c r="GW58" s="264"/>
      <c r="GX58" s="264"/>
      <c r="GY58" s="264"/>
      <c r="GZ58" s="264"/>
      <c r="HA58" s="264"/>
      <c r="HB58" s="264"/>
      <c r="HC58" s="264"/>
      <c r="HD58" s="264"/>
      <c r="HE58" s="264"/>
      <c r="HF58" s="264"/>
      <c r="HG58" s="264"/>
      <c r="HH58" s="264"/>
      <c r="HI58" s="264"/>
      <c r="HJ58" s="264"/>
      <c r="HK58" s="264"/>
      <c r="HL58" s="264"/>
      <c r="HM58" s="264"/>
      <c r="HN58" s="264"/>
      <c r="HO58" s="264"/>
      <c r="HP58" s="264"/>
      <c r="HQ58" s="264"/>
      <c r="HR58" s="264"/>
      <c r="HS58" s="264"/>
      <c r="HT58" s="264"/>
      <c r="HU58" s="264"/>
      <c r="HV58" s="264"/>
      <c r="HW58" s="264"/>
      <c r="HX58" s="264"/>
      <c r="HY58" s="264"/>
      <c r="HZ58" s="264"/>
      <c r="IA58" s="264"/>
      <c r="IB58" s="264"/>
      <c r="IC58" s="264"/>
      <c r="ID58" s="264"/>
      <c r="IE58" s="264"/>
      <c r="IF58" s="264"/>
      <c r="IG58" s="264"/>
      <c r="IH58" s="264"/>
      <c r="II58" s="264"/>
      <c r="IJ58" s="264"/>
      <c r="IK58" s="264"/>
      <c r="IL58" s="264"/>
      <c r="IM58" s="264"/>
      <c r="IN58" s="264"/>
      <c r="IO58" s="264"/>
      <c r="IP58" s="264"/>
      <c r="IQ58" s="264"/>
      <c r="IR58" s="264"/>
      <c r="IS58" s="264"/>
      <c r="IT58" s="264"/>
      <c r="IU58" s="264"/>
      <c r="IV58" s="264"/>
    </row>
    <row r="59" spans="1:11" ht="21.75" customHeight="1">
      <c r="A59" s="554" t="s">
        <v>1286</v>
      </c>
      <c r="B59" s="1270">
        <f>SUM(B60:B61)</f>
        <v>6099</v>
      </c>
      <c r="C59" s="1271">
        <f>(D59*1000)/B59</f>
        <v>1247.8275127070012</v>
      </c>
      <c r="D59" s="1272">
        <f>SUM(D60:D61)</f>
        <v>7610.5</v>
      </c>
      <c r="E59" s="1270">
        <f>SUM(E60:E61)</f>
        <v>1753</v>
      </c>
      <c r="F59" s="1271">
        <f>(G59*1000)/E59</f>
        <v>3342.840844266971</v>
      </c>
      <c r="G59" s="1272">
        <f>SUM(G60:G61)</f>
        <v>5860</v>
      </c>
      <c r="H59" s="1270">
        <f>SUM(H60:H61)</f>
        <v>2886</v>
      </c>
      <c r="I59" s="1271">
        <f>(J59*1000)/H59</f>
        <v>3411.642411642412</v>
      </c>
      <c r="J59" s="1272">
        <f>SUM(J60:J61)</f>
        <v>9846</v>
      </c>
      <c r="K59" s="555" t="s">
        <v>1286</v>
      </c>
    </row>
    <row r="60" spans="1:11" ht="21.75" customHeight="1">
      <c r="A60" s="551" t="s">
        <v>586</v>
      </c>
      <c r="B60" s="1252">
        <v>3251</v>
      </c>
      <c r="C60" s="1253">
        <f>(D60*1000)/B60</f>
        <v>1018.6096585665949</v>
      </c>
      <c r="D60" s="1262">
        <v>3311.5</v>
      </c>
      <c r="E60" s="1252">
        <v>1142</v>
      </c>
      <c r="F60" s="1253">
        <f>(G60*1000)/E60</f>
        <v>3498.2486865148862</v>
      </c>
      <c r="G60" s="1262">
        <v>3995</v>
      </c>
      <c r="H60" s="1252">
        <v>2617</v>
      </c>
      <c r="I60" s="1253">
        <f>(J60*1000)/H60</f>
        <v>3348.1085212074895</v>
      </c>
      <c r="J60" s="1262">
        <v>8762</v>
      </c>
      <c r="K60" s="549" t="s">
        <v>586</v>
      </c>
    </row>
    <row r="61" spans="1:11" ht="21.75" customHeight="1">
      <c r="A61" s="551" t="s">
        <v>587</v>
      </c>
      <c r="B61" s="1252">
        <v>2848</v>
      </c>
      <c r="C61" s="1253">
        <f>(D61*1000)/B61</f>
        <v>1509.4803370786517</v>
      </c>
      <c r="D61" s="1262">
        <v>4299</v>
      </c>
      <c r="E61" s="1252">
        <v>611</v>
      </c>
      <c r="F61" s="1253">
        <f>(G61*1000)/E61</f>
        <v>3052.3731587561374</v>
      </c>
      <c r="G61" s="1262">
        <v>1865</v>
      </c>
      <c r="H61" s="1252">
        <v>269</v>
      </c>
      <c r="I61" s="1253">
        <f>(J61*1000)/H61</f>
        <v>4029.739776951673</v>
      </c>
      <c r="J61" s="1262">
        <v>1084</v>
      </c>
      <c r="K61" s="549" t="s">
        <v>587</v>
      </c>
    </row>
    <row r="62" spans="1:11" ht="21.75" customHeight="1">
      <c r="A62" s="551"/>
      <c r="B62" s="1252"/>
      <c r="C62" s="1261"/>
      <c r="D62" s="1262"/>
      <c r="E62" s="1252"/>
      <c r="F62" s="1261"/>
      <c r="G62" s="1262"/>
      <c r="H62" s="1252"/>
      <c r="I62" s="1261"/>
      <c r="J62" s="1262"/>
      <c r="K62" s="549"/>
    </row>
    <row r="63" spans="1:11" ht="21.75" customHeight="1">
      <c r="A63" s="554" t="s">
        <v>1287</v>
      </c>
      <c r="B63" s="1250" t="s">
        <v>464</v>
      </c>
      <c r="C63" s="1251" t="s">
        <v>464</v>
      </c>
      <c r="D63" s="586" t="s">
        <v>464</v>
      </c>
      <c r="E63" s="1250" t="s">
        <v>464</v>
      </c>
      <c r="F63" s="1251" t="s">
        <v>464</v>
      </c>
      <c r="G63" s="586" t="s">
        <v>464</v>
      </c>
      <c r="H63" s="1270">
        <f>SUM(H64:H66)</f>
        <v>71</v>
      </c>
      <c r="I63" s="1271">
        <f>(J63*1000)/H63</f>
        <v>2619.718309859155</v>
      </c>
      <c r="J63" s="1272">
        <f>SUM(J64:J66)</f>
        <v>186</v>
      </c>
      <c r="K63" s="555" t="s">
        <v>1287</v>
      </c>
    </row>
    <row r="64" spans="1:11" ht="21.75" customHeight="1">
      <c r="A64" s="551" t="s">
        <v>1273</v>
      </c>
      <c r="B64" s="1250" t="s">
        <v>464</v>
      </c>
      <c r="C64" s="1251" t="s">
        <v>464</v>
      </c>
      <c r="D64" s="586" t="s">
        <v>464</v>
      </c>
      <c r="E64" s="1250" t="s">
        <v>464</v>
      </c>
      <c r="F64" s="1251" t="s">
        <v>464</v>
      </c>
      <c r="G64" s="586" t="s">
        <v>464</v>
      </c>
      <c r="H64" s="1250" t="s">
        <v>464</v>
      </c>
      <c r="I64" s="1251" t="s">
        <v>464</v>
      </c>
      <c r="J64" s="586" t="s">
        <v>464</v>
      </c>
      <c r="K64" s="549" t="s">
        <v>1273</v>
      </c>
    </row>
    <row r="65" spans="1:11" ht="21.75" customHeight="1">
      <c r="A65" s="551" t="s">
        <v>596</v>
      </c>
      <c r="B65" s="1250" t="s">
        <v>464</v>
      </c>
      <c r="C65" s="1251" t="s">
        <v>464</v>
      </c>
      <c r="D65" s="586" t="s">
        <v>464</v>
      </c>
      <c r="E65" s="1250" t="s">
        <v>464</v>
      </c>
      <c r="F65" s="1251" t="s">
        <v>464</v>
      </c>
      <c r="G65" s="586" t="s">
        <v>464</v>
      </c>
      <c r="H65" s="1250" t="s">
        <v>464</v>
      </c>
      <c r="I65" s="1251" t="s">
        <v>464</v>
      </c>
      <c r="J65" s="586" t="s">
        <v>464</v>
      </c>
      <c r="K65" s="549" t="s">
        <v>596</v>
      </c>
    </row>
    <row r="66" spans="1:11" ht="21.75" customHeight="1" thickBot="1">
      <c r="A66" s="556" t="s">
        <v>595</v>
      </c>
      <c r="B66" s="1275" t="s">
        <v>464</v>
      </c>
      <c r="C66" s="1276" t="s">
        <v>464</v>
      </c>
      <c r="D66" s="1277" t="s">
        <v>464</v>
      </c>
      <c r="E66" s="1275" t="s">
        <v>464</v>
      </c>
      <c r="F66" s="1276" t="s">
        <v>464</v>
      </c>
      <c r="G66" s="1277" t="s">
        <v>464</v>
      </c>
      <c r="H66" s="1278">
        <v>71</v>
      </c>
      <c r="I66" s="1279">
        <f>(J66*1000)/H66</f>
        <v>2619.718309859155</v>
      </c>
      <c r="J66" s="1280">
        <v>186</v>
      </c>
      <c r="K66" s="557" t="s">
        <v>595</v>
      </c>
    </row>
  </sheetData>
  <sheetProtection/>
  <printOptions/>
  <pageMargins left="0.6" right="0.984251968503937" top="0.79" bottom="0.7874015748031497" header="0.77" footer="0.511811023622047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41"/>
  <sheetViews>
    <sheetView zoomScale="65" zoomScaleNormal="65" zoomScalePageLayoutView="0" workbookViewId="0" topLeftCell="A1">
      <selection activeCell="I16" sqref="I16"/>
    </sheetView>
  </sheetViews>
  <sheetFormatPr defaultColWidth="9.140625" defaultRowHeight="12.75"/>
  <cols>
    <col min="1" max="1" width="19.00390625" style="15" customWidth="1"/>
    <col min="2" max="4" width="35.57421875" style="15" customWidth="1"/>
    <col min="5" max="5" width="35.57421875" style="19" customWidth="1"/>
    <col min="6" max="7" width="9.140625" style="15" customWidth="1"/>
    <col min="8" max="8" width="16.00390625" style="15" customWidth="1"/>
    <col min="9" max="9" width="17.7109375" style="15" customWidth="1"/>
    <col min="10" max="10" width="15.57421875" style="15" customWidth="1"/>
    <col min="11" max="11" width="10.57421875" style="15" customWidth="1"/>
    <col min="12" max="12" width="12.7109375" style="15" customWidth="1"/>
    <col min="13" max="13" width="25.140625" style="15" customWidth="1"/>
    <col min="14" max="14" width="18.28125" style="15" customWidth="1"/>
    <col min="15" max="15" width="13.28125" style="15" customWidth="1"/>
    <col min="16" max="16" width="25.421875" style="15" customWidth="1"/>
    <col min="17" max="16384" width="9.140625" style="15" customWidth="1"/>
  </cols>
  <sheetData>
    <row r="1" spans="1:5" s="14" customFormat="1" ht="22.5" customHeight="1">
      <c r="A1" s="14" t="s">
        <v>202</v>
      </c>
      <c r="E1" s="30"/>
    </row>
    <row r="2" spans="1:5" s="14" customFormat="1" ht="22.5" customHeight="1">
      <c r="A2" s="24" t="s">
        <v>203</v>
      </c>
      <c r="E2" s="30"/>
    </row>
    <row r="3" ht="22.5" customHeight="1" thickBot="1"/>
    <row r="4" spans="1:5" ht="31.5" customHeight="1">
      <c r="A4" s="1989" t="s">
        <v>482</v>
      </c>
      <c r="B4" s="1989" t="s">
        <v>483</v>
      </c>
      <c r="C4" s="1989" t="s">
        <v>484</v>
      </c>
      <c r="D4" s="1989" t="s">
        <v>1277</v>
      </c>
      <c r="E4" s="55" t="s">
        <v>141</v>
      </c>
    </row>
    <row r="5" spans="1:5" ht="31.5" customHeight="1" thickBot="1">
      <c r="A5" s="1990" t="s">
        <v>485</v>
      </c>
      <c r="B5" s="1991" t="s">
        <v>486</v>
      </c>
      <c r="C5" s="1991" t="s">
        <v>487</v>
      </c>
      <c r="D5" s="1991" t="s">
        <v>488</v>
      </c>
      <c r="E5" s="41" t="s">
        <v>142</v>
      </c>
    </row>
    <row r="6" spans="1:5" ht="31.5" customHeight="1">
      <c r="A6" s="28">
        <v>1</v>
      </c>
      <c r="B6" s="1992" t="s">
        <v>1283</v>
      </c>
      <c r="C6" s="539"/>
      <c r="D6" s="539"/>
      <c r="E6" s="538"/>
    </row>
    <row r="7" spans="1:5" ht="31.5" customHeight="1" thickBot="1">
      <c r="A7" s="387"/>
      <c r="B7" s="1993" t="s">
        <v>1284</v>
      </c>
      <c r="C7" s="740">
        <v>367632.75</v>
      </c>
      <c r="D7" s="1931">
        <v>2586</v>
      </c>
      <c r="E7" s="741">
        <v>8407128.82</v>
      </c>
    </row>
    <row r="8" spans="1:5" ht="31.5" customHeight="1" thickBot="1">
      <c r="A8" s="388"/>
      <c r="B8" s="1994" t="s">
        <v>476</v>
      </c>
      <c r="C8" s="2005">
        <f>SUM(C7)</f>
        <v>367632.75</v>
      </c>
      <c r="D8" s="2006">
        <f>SUM(D7)</f>
        <v>2586</v>
      </c>
      <c r="E8" s="2005">
        <f>SUM(E7)</f>
        <v>8407128.82</v>
      </c>
    </row>
    <row r="9" spans="1:5" ht="31.5" customHeight="1">
      <c r="A9" s="28">
        <v>2</v>
      </c>
      <c r="B9" s="1995" t="s">
        <v>500</v>
      </c>
      <c r="C9" s="742"/>
      <c r="D9" s="742"/>
      <c r="E9" s="743"/>
    </row>
    <row r="10" spans="1:34" ht="31.5" customHeight="1">
      <c r="A10" s="387"/>
      <c r="B10" s="1996" t="s">
        <v>516</v>
      </c>
      <c r="C10" s="744" t="s">
        <v>464</v>
      </c>
      <c r="D10" s="744" t="s">
        <v>464</v>
      </c>
      <c r="E10" s="745" t="s">
        <v>464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31.5" customHeight="1">
      <c r="A11" s="387"/>
      <c r="B11" s="1996" t="s">
        <v>1456</v>
      </c>
      <c r="C11" s="746"/>
      <c r="D11" s="746"/>
      <c r="E11" s="74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31.5" customHeight="1">
      <c r="A12" s="387"/>
      <c r="B12" s="1993" t="s">
        <v>1459</v>
      </c>
      <c r="C12" s="747"/>
      <c r="D12" s="748"/>
      <c r="E12" s="74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31.5" customHeight="1">
      <c r="A13" s="387"/>
      <c r="B13" s="1997" t="s">
        <v>1457</v>
      </c>
      <c r="C13" s="750" t="s">
        <v>464</v>
      </c>
      <c r="D13" s="750" t="s">
        <v>464</v>
      </c>
      <c r="E13" s="751" t="s">
        <v>464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31.5" customHeight="1" hidden="1">
      <c r="A14" s="387"/>
      <c r="B14" s="1998"/>
      <c r="C14" s="752"/>
      <c r="D14" s="752"/>
      <c r="E14" s="75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31.5" customHeight="1">
      <c r="A15" s="387"/>
      <c r="B15" s="1998" t="s">
        <v>531</v>
      </c>
      <c r="C15" s="752" t="s">
        <v>464</v>
      </c>
      <c r="D15" s="752" t="s">
        <v>464</v>
      </c>
      <c r="E15" s="753" t="s">
        <v>464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31.5" customHeight="1">
      <c r="A16" s="387"/>
      <c r="B16" s="1998" t="s">
        <v>716</v>
      </c>
      <c r="C16" s="752">
        <v>19</v>
      </c>
      <c r="D16" s="752">
        <v>1</v>
      </c>
      <c r="E16" s="1932">
        <v>8640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31.5" customHeight="1" thickBot="1">
      <c r="A17" s="387"/>
      <c r="B17" s="1628" t="s">
        <v>715</v>
      </c>
      <c r="C17" s="744" t="s">
        <v>464</v>
      </c>
      <c r="D17" s="744" t="s">
        <v>464</v>
      </c>
      <c r="E17" s="745" t="s">
        <v>464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31.5" customHeight="1" thickBot="1">
      <c r="A18" s="388"/>
      <c r="B18" s="1999" t="s">
        <v>476</v>
      </c>
      <c r="C18" s="2007">
        <f>SUM(C12:C17)</f>
        <v>19</v>
      </c>
      <c r="D18" s="2008">
        <f>SUM(D12:D17)</f>
        <v>1</v>
      </c>
      <c r="E18" s="2009">
        <f>SUM(E12:E17)</f>
        <v>8640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31.5" customHeight="1">
      <c r="A19" s="28">
        <v>3</v>
      </c>
      <c r="B19" s="2000" t="s">
        <v>536</v>
      </c>
      <c r="C19" s="742"/>
      <c r="D19" s="742"/>
      <c r="E19" s="74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31.5" customHeight="1">
      <c r="A20" s="387"/>
      <c r="B20" s="2001" t="s">
        <v>516</v>
      </c>
      <c r="C20" s="752" t="s">
        <v>464</v>
      </c>
      <c r="D20" s="752" t="s">
        <v>464</v>
      </c>
      <c r="E20" s="753" t="s">
        <v>464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31.5" customHeight="1">
      <c r="A21" s="387"/>
      <c r="B21" s="2001" t="s">
        <v>717</v>
      </c>
      <c r="C21" s="752" t="s">
        <v>464</v>
      </c>
      <c r="D21" s="752" t="s">
        <v>464</v>
      </c>
      <c r="E21" s="753" t="s">
        <v>464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31.5" customHeight="1">
      <c r="A22" s="387"/>
      <c r="B22" s="2001" t="s">
        <v>1458</v>
      </c>
      <c r="C22" s="752" t="s">
        <v>464</v>
      </c>
      <c r="D22" s="752" t="s">
        <v>464</v>
      </c>
      <c r="E22" s="753" t="s">
        <v>464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ht="31.5" customHeight="1">
      <c r="A23" s="387"/>
      <c r="B23" s="2001" t="s">
        <v>1460</v>
      </c>
      <c r="C23" s="752" t="s">
        <v>464</v>
      </c>
      <c r="D23" s="752" t="s">
        <v>464</v>
      </c>
      <c r="E23" s="753" t="s">
        <v>464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31.5" customHeight="1">
      <c r="A24" s="387"/>
      <c r="B24" s="2001" t="s">
        <v>1461</v>
      </c>
      <c r="C24" s="752" t="s">
        <v>464</v>
      </c>
      <c r="D24" s="752" t="s">
        <v>464</v>
      </c>
      <c r="E24" s="753" t="s">
        <v>464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31.5" customHeight="1">
      <c r="A25" s="387"/>
      <c r="B25" s="2001" t="s">
        <v>531</v>
      </c>
      <c r="C25" s="752" t="s">
        <v>464</v>
      </c>
      <c r="D25" s="752" t="s">
        <v>464</v>
      </c>
      <c r="E25" s="753" t="s">
        <v>464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31.5" customHeight="1">
      <c r="A26" s="387"/>
      <c r="B26" s="2001" t="s">
        <v>716</v>
      </c>
      <c r="C26" s="752" t="s">
        <v>464</v>
      </c>
      <c r="D26" s="752" t="s">
        <v>464</v>
      </c>
      <c r="E26" s="753" t="s">
        <v>464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31.5" customHeight="1" thickBot="1">
      <c r="A27" s="387"/>
      <c r="B27" s="2002" t="s">
        <v>715</v>
      </c>
      <c r="C27" s="744"/>
      <c r="D27" s="744"/>
      <c r="E27" s="1933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31.5" customHeight="1" thickBot="1">
      <c r="A28" s="388"/>
      <c r="B28" s="1999" t="s">
        <v>476</v>
      </c>
      <c r="C28" s="2223">
        <f>SUM(C20:C27)</f>
        <v>0</v>
      </c>
      <c r="D28" s="2223">
        <f>SUM(D20:D27)</f>
        <v>0</v>
      </c>
      <c r="E28" s="2224">
        <f>SUM(E20:E27)</f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ht="31.5" customHeight="1">
      <c r="A29" s="28">
        <v>4</v>
      </c>
      <c r="B29" s="2000" t="s">
        <v>546</v>
      </c>
      <c r="C29" s="742"/>
      <c r="D29" s="742"/>
      <c r="E29" s="743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ht="31.5" customHeight="1">
      <c r="A30" s="387"/>
      <c r="B30" s="1998" t="s">
        <v>516</v>
      </c>
      <c r="C30" s="752" t="s">
        <v>464</v>
      </c>
      <c r="D30" s="752" t="s">
        <v>464</v>
      </c>
      <c r="E30" s="753" t="s">
        <v>464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ht="31.5" customHeight="1">
      <c r="A31" s="387"/>
      <c r="B31" s="2001" t="s">
        <v>717</v>
      </c>
      <c r="C31" s="752" t="s">
        <v>464</v>
      </c>
      <c r="D31" s="752" t="s">
        <v>464</v>
      </c>
      <c r="E31" s="753" t="s">
        <v>464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14" customFormat="1" ht="31.5" customHeight="1">
      <c r="A32" s="389"/>
      <c r="B32" s="2003" t="s">
        <v>490</v>
      </c>
      <c r="C32" s="754"/>
      <c r="D32" s="754"/>
      <c r="E32" s="112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ht="31.5" customHeight="1">
      <c r="A33" s="387"/>
      <c r="B33" s="1998" t="s">
        <v>718</v>
      </c>
      <c r="C33" s="752" t="s">
        <v>464</v>
      </c>
      <c r="D33" s="752" t="s">
        <v>464</v>
      </c>
      <c r="E33" s="753" t="s">
        <v>464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43" ht="31.5" customHeight="1">
      <c r="A34" s="387"/>
      <c r="B34" s="1998" t="s">
        <v>1462</v>
      </c>
      <c r="C34" s="752" t="s">
        <v>464</v>
      </c>
      <c r="D34" s="752" t="s">
        <v>464</v>
      </c>
      <c r="E34" s="753" t="s">
        <v>464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31.5" customHeight="1">
      <c r="A35" s="387"/>
      <c r="B35" s="1998" t="s">
        <v>531</v>
      </c>
      <c r="C35" s="752" t="s">
        <v>464</v>
      </c>
      <c r="D35" s="752" t="s">
        <v>464</v>
      </c>
      <c r="E35" s="753" t="s">
        <v>464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ht="31.5" customHeight="1">
      <c r="A36" s="387"/>
      <c r="B36" s="1998" t="s">
        <v>716</v>
      </c>
      <c r="C36" s="752"/>
      <c r="D36" s="752"/>
      <c r="E36" s="1932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ht="31.5" customHeight="1" thickBot="1">
      <c r="A37" s="387"/>
      <c r="B37" s="1628" t="s">
        <v>715</v>
      </c>
      <c r="C37" s="744" t="s">
        <v>464</v>
      </c>
      <c r="D37" s="744" t="s">
        <v>464</v>
      </c>
      <c r="E37" s="1933" t="s">
        <v>464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31.5" customHeight="1" thickBot="1">
      <c r="A38" s="388"/>
      <c r="B38" s="1999" t="s">
        <v>476</v>
      </c>
      <c r="C38" s="2007">
        <f>SUM(C30:C37)</f>
        <v>0</v>
      </c>
      <c r="D38" s="2007">
        <f>SUM(D30:D37)</f>
        <v>0</v>
      </c>
      <c r="E38" s="2009">
        <f>SUM(E30:E37)</f>
        <v>0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1.5" customHeight="1">
      <c r="A39" s="28">
        <v>5</v>
      </c>
      <c r="B39" s="2000" t="s">
        <v>553</v>
      </c>
      <c r="C39" s="742"/>
      <c r="D39" s="742"/>
      <c r="E39" s="743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31.5" customHeight="1" thickBot="1">
      <c r="A40" s="387"/>
      <c r="B40" s="2004" t="s">
        <v>1276</v>
      </c>
      <c r="C40" s="755" t="s">
        <v>464</v>
      </c>
      <c r="D40" s="755" t="s">
        <v>464</v>
      </c>
      <c r="E40" s="756" t="s">
        <v>464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31.5" customHeight="1" thickBot="1">
      <c r="A41" s="388"/>
      <c r="B41" s="1999" t="s">
        <v>476</v>
      </c>
      <c r="C41" s="755" t="s">
        <v>464</v>
      </c>
      <c r="D41" s="755" t="s">
        <v>464</v>
      </c>
      <c r="E41" s="756" t="s">
        <v>464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1.5" customHeight="1">
      <c r="A42" s="28"/>
      <c r="B42" s="390"/>
      <c r="C42" s="757"/>
      <c r="D42" s="757"/>
      <c r="E42" s="75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ht="31.5" customHeight="1" thickBot="1">
      <c r="A43" s="2010" t="s">
        <v>554</v>
      </c>
      <c r="B43" s="391"/>
      <c r="C43" s="759">
        <f>SUM(C8+C38+C18+C28)</f>
        <v>367651.75</v>
      </c>
      <c r="D43" s="759">
        <f>SUM(D8+D38+D18+D28)</f>
        <v>2587</v>
      </c>
      <c r="E43" s="760">
        <f>SUM(E8+E38+E18+E28)</f>
        <v>8415768.82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ht="31.5" customHeight="1">
      <c r="A44" s="29" t="s">
        <v>552</v>
      </c>
      <c r="B44" s="29"/>
      <c r="C44" s="29" t="s">
        <v>1394</v>
      </c>
      <c r="D44" s="29"/>
      <c r="E44" s="5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ht="18.75">
      <c r="A45" s="29"/>
      <c r="B45" s="29"/>
      <c r="C45" s="29"/>
      <c r="D45" s="29"/>
      <c r="E45" s="5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ht="18.75">
      <c r="A46" s="29"/>
      <c r="B46" s="29"/>
      <c r="C46" s="29"/>
      <c r="D46" s="29"/>
      <c r="E46" s="5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9:43" ht="18.75"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9:43" ht="18.75"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9:43" ht="18.75"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9:43" ht="18.75"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9:43" ht="18.75"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9:43" ht="18.75"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  <row r="53" spans="9:43" ht="18.75"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9:43" ht="18.75"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</row>
    <row r="55" spans="9:43" ht="18.75"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9:43" ht="18.75"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9:43" ht="18.75"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9:43" ht="18.75"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</row>
    <row r="59" spans="9:43" ht="18.75"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9:43" ht="18.75"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</row>
    <row r="61" spans="9:43" ht="18.75"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</row>
    <row r="62" spans="9:43" ht="18.75"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</row>
    <row r="63" spans="9:43" ht="18.75"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9:43" ht="18.75"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9:43" ht="18.75"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9:43" ht="18.75"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9:43" ht="18.75"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9:43" ht="18.75"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9:43" ht="18.75"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9:43" ht="18.75"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9:43" ht="18.75"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9:43" ht="18.75"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9:43" ht="18.75"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9:43" ht="18.75"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9:43" ht="18.75"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9:43" ht="18.75"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9:43" ht="18.75"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9:43" ht="18.75"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9:43" ht="18.75"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9:43" ht="18.75"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9:43" ht="18.75"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9:43" ht="18.75"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9:43" ht="18.75"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9:43" ht="18.75"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9:43" ht="18.75"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9:43" ht="18.75"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9:43" ht="18.75"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9:43" ht="18.75"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9:43" ht="18.75"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9:43" ht="18.75"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9:43" ht="18.75"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9:43" ht="18.75"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</row>
    <row r="93" spans="9:43" ht="18.75"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</row>
    <row r="94" spans="9:43" ht="18.75"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</row>
    <row r="95" spans="9:43" ht="18.75"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</row>
    <row r="96" spans="9:43" ht="18.75"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</row>
    <row r="97" spans="9:43" ht="18.75"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</row>
    <row r="98" spans="9:43" ht="18.75"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</row>
    <row r="99" spans="9:43" ht="18.75"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</row>
    <row r="100" spans="9:43" ht="18.75"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</row>
    <row r="101" spans="9:43" ht="18.75"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</row>
    <row r="102" spans="9:43" ht="18.75"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</row>
    <row r="103" spans="9:43" ht="18.75"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</row>
    <row r="104" spans="9:43" ht="18.75"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</row>
    <row r="105" spans="9:43" ht="18.75"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</row>
    <row r="106" spans="9:43" ht="18.75"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</row>
    <row r="107" spans="9:43" ht="18.75"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</row>
    <row r="108" spans="9:43" ht="18.75"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</row>
    <row r="109" spans="9:43" ht="18.75"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</row>
    <row r="110" spans="9:43" ht="18.75"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</row>
    <row r="111" spans="9:43" ht="18.75"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</row>
    <row r="112" spans="9:43" ht="18.75"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</row>
    <row r="113" spans="9:43" ht="18.75"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</row>
    <row r="114" spans="9:43" ht="18.75"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</row>
    <row r="115" spans="9:43" ht="18.75"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</row>
    <row r="116" spans="9:43" ht="18.75"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</row>
    <row r="117" spans="9:43" ht="18.75"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</row>
    <row r="118" spans="9:43" ht="18.75"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</row>
    <row r="119" spans="9:43" ht="18.75"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</row>
    <row r="120" spans="9:43" ht="18.75"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</row>
    <row r="121" spans="9:43" ht="18.75"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</row>
    <row r="122" spans="9:43" ht="18.75"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</row>
    <row r="123" spans="9:43" ht="18.75"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</row>
    <row r="124" spans="9:43" ht="18.75"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</row>
    <row r="125" spans="9:43" ht="18.75"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</row>
    <row r="126" spans="9:43" ht="18.75"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</row>
    <row r="127" spans="9:43" ht="18.75"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</row>
    <row r="128" spans="9:43" ht="18.75"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</row>
    <row r="129" spans="9:43" ht="18.75"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</row>
    <row r="130" spans="9:43" ht="18.75"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</row>
    <row r="131" spans="9:43" ht="18.75"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</row>
    <row r="132" spans="9:43" ht="18.75"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9:43" ht="18.75"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pans="9:43" ht="18.75"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pans="9:43" ht="18.75"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pans="9:43" ht="18.75"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pans="9:43" ht="18.75"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</row>
    <row r="138" spans="9:43" ht="18.75"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</row>
    <row r="139" spans="9:43" ht="18.75"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</row>
    <row r="140" spans="9:43" ht="18.75"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</row>
    <row r="141" spans="9:43" ht="18.75"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</row>
  </sheetData>
  <sheetProtection/>
  <printOptions/>
  <pageMargins left="0.7" right="1" top="1" bottom="1" header="0.5" footer="0.5"/>
  <pageSetup horizontalDpi="300" verticalDpi="300" orientation="portrait" paperSize="9" scale="5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0.57421875" style="0" customWidth="1"/>
    <col min="2" max="2" width="22.28125" style="0" customWidth="1"/>
    <col min="3" max="5" width="23.7109375" style="0" customWidth="1"/>
  </cols>
  <sheetData>
    <row r="2" spans="1:5" ht="19.5">
      <c r="A2" s="156" t="s">
        <v>678</v>
      </c>
      <c r="B2" s="156"/>
      <c r="C2" s="156"/>
      <c r="D2" s="156"/>
      <c r="E2" s="175"/>
    </row>
    <row r="3" spans="1:5" ht="20.25" thickBot="1">
      <c r="A3" s="156"/>
      <c r="B3" s="156"/>
      <c r="C3" s="156"/>
      <c r="D3" s="156"/>
      <c r="E3" s="175"/>
    </row>
    <row r="4" spans="1:5" ht="19.5" thickBot="1">
      <c r="A4" s="186"/>
      <c r="B4" s="838"/>
      <c r="C4" s="836" t="s">
        <v>473</v>
      </c>
      <c r="D4" s="192"/>
      <c r="E4" s="2026"/>
    </row>
    <row r="5" spans="1:5" ht="19.5">
      <c r="A5" s="2027" t="s">
        <v>566</v>
      </c>
      <c r="B5" s="186" t="s">
        <v>567</v>
      </c>
      <c r="C5" s="186" t="s">
        <v>568</v>
      </c>
      <c r="D5" s="2028" t="s">
        <v>569</v>
      </c>
      <c r="E5" s="2029" t="s">
        <v>570</v>
      </c>
    </row>
    <row r="6" spans="1:5" ht="19.5">
      <c r="A6" s="2027" t="s">
        <v>571</v>
      </c>
      <c r="B6" s="188" t="s">
        <v>572</v>
      </c>
      <c r="C6" s="188" t="s">
        <v>573</v>
      </c>
      <c r="D6" s="2030" t="s">
        <v>574</v>
      </c>
      <c r="E6" s="2029" t="s">
        <v>575</v>
      </c>
    </row>
    <row r="7" spans="1:5" ht="19.5" thickBot="1">
      <c r="A7" s="532"/>
      <c r="B7" s="532" t="s">
        <v>444</v>
      </c>
      <c r="C7" s="532" t="s">
        <v>576</v>
      </c>
      <c r="D7" s="2028" t="s">
        <v>577</v>
      </c>
      <c r="E7" s="349"/>
    </row>
    <row r="8" spans="1:5" ht="20.25" thickBot="1">
      <c r="A8" s="902" t="s">
        <v>578</v>
      </c>
      <c r="B8" s="2031">
        <f>SUM(B14+B21+B27+B31)</f>
        <v>41262.5</v>
      </c>
      <c r="C8" s="2032">
        <f>(D8*1000)/B8</f>
        <v>2346.694940926992</v>
      </c>
      <c r="D8" s="2031">
        <f>SUM(D14+D21+D27+D31)</f>
        <v>96830.5</v>
      </c>
      <c r="E8" s="891" t="s">
        <v>579</v>
      </c>
    </row>
    <row r="9" spans="1:5" ht="32.25" customHeight="1">
      <c r="A9" s="711" t="s">
        <v>580</v>
      </c>
      <c r="B9" s="2033" t="s">
        <v>464</v>
      </c>
      <c r="C9" s="2033" t="s">
        <v>464</v>
      </c>
      <c r="D9" s="2034" t="s">
        <v>464</v>
      </c>
      <c r="E9" s="542" t="s">
        <v>581</v>
      </c>
    </row>
    <row r="10" spans="1:5" ht="32.25" customHeight="1">
      <c r="A10" s="712" t="s">
        <v>582</v>
      </c>
      <c r="B10" s="2035" t="s">
        <v>464</v>
      </c>
      <c r="C10" s="2035" t="s">
        <v>464</v>
      </c>
      <c r="D10" s="2034" t="s">
        <v>464</v>
      </c>
      <c r="E10" s="543" t="s">
        <v>583</v>
      </c>
    </row>
    <row r="11" spans="1:5" ht="32.25" customHeight="1">
      <c r="A11" s="712" t="s">
        <v>584</v>
      </c>
      <c r="B11" s="2035" t="s">
        <v>464</v>
      </c>
      <c r="C11" s="2035" t="s">
        <v>464</v>
      </c>
      <c r="D11" s="2034" t="s">
        <v>464</v>
      </c>
      <c r="E11" s="543" t="s">
        <v>584</v>
      </c>
    </row>
    <row r="12" spans="1:5" ht="32.25" customHeight="1">
      <c r="A12" s="712" t="s">
        <v>585</v>
      </c>
      <c r="B12" s="2035" t="s">
        <v>464</v>
      </c>
      <c r="C12" s="2035" t="s">
        <v>464</v>
      </c>
      <c r="D12" s="2034" t="s">
        <v>464</v>
      </c>
      <c r="E12" s="543" t="s">
        <v>585</v>
      </c>
    </row>
    <row r="13" spans="1:5" ht="32.25" customHeight="1">
      <c r="A13" s="712"/>
      <c r="B13" s="2036"/>
      <c r="C13" s="2036"/>
      <c r="D13" s="2037"/>
      <c r="E13" s="543"/>
    </row>
    <row r="14" spans="1:5" ht="32.25" customHeight="1">
      <c r="A14" s="713" t="s">
        <v>588</v>
      </c>
      <c r="B14" s="2038">
        <f>SUM(B15:B19)</f>
        <v>349</v>
      </c>
      <c r="C14" s="2038">
        <f>(D14*1000)/B14</f>
        <v>2183.381088825215</v>
      </c>
      <c r="D14" s="2039">
        <f>SUM(D15:D19)</f>
        <v>762</v>
      </c>
      <c r="E14" s="544" t="s">
        <v>589</v>
      </c>
    </row>
    <row r="15" spans="1:5" ht="32.25" customHeight="1">
      <c r="A15" s="712" t="s">
        <v>590</v>
      </c>
      <c r="B15" s="2036">
        <f>SUM(' 23a '!B14+' 23a '!E14+' 23a '!B47+' 23a '!E47+' 23a '!H47)</f>
        <v>111</v>
      </c>
      <c r="C15" s="2036">
        <f>(D15*1000)/B15</f>
        <v>1711.7117117117118</v>
      </c>
      <c r="D15" s="2037">
        <f>' 23a '!D14+' 23a '!G14+' 23a '!D47+' 23a '!G47+' 23a '!J47</f>
        <v>190</v>
      </c>
      <c r="E15" s="543" t="s">
        <v>591</v>
      </c>
    </row>
    <row r="16" spans="1:5" ht="32.25" customHeight="1">
      <c r="A16" s="712" t="s">
        <v>592</v>
      </c>
      <c r="B16" s="2036">
        <f>SUM(' 23a '!B48+' 23a '!E48)</f>
        <v>92</v>
      </c>
      <c r="C16" s="2036">
        <f>(D16*1000)/B16</f>
        <v>543.4782608695652</v>
      </c>
      <c r="D16" s="2037">
        <f>' 23a '!D48+' 23a '!G48</f>
        <v>50</v>
      </c>
      <c r="E16" s="543" t="s">
        <v>593</v>
      </c>
    </row>
    <row r="17" spans="1:5" ht="32.25" customHeight="1">
      <c r="A17" s="712" t="s">
        <v>594</v>
      </c>
      <c r="B17" s="2036">
        <f>SUM(' 23a '!B16+' 23a '!E16+' 23a '!E49+' 23a '!H49)</f>
        <v>128</v>
      </c>
      <c r="C17" s="2036">
        <f>(D17*1000)/B17</f>
        <v>4078.125</v>
      </c>
      <c r="D17" s="2037">
        <f>' 23a '!D16+' 23a '!G16+' 23a '!G49+' 23a '!J49</f>
        <v>522</v>
      </c>
      <c r="E17" s="543" t="s">
        <v>594</v>
      </c>
    </row>
    <row r="18" spans="1:5" ht="32.25" customHeight="1">
      <c r="A18" s="712" t="s">
        <v>599</v>
      </c>
      <c r="B18" s="2036">
        <f>SUM(' 23a '!E17+' 23a '!B50)</f>
        <v>18</v>
      </c>
      <c r="C18" s="2036">
        <f>(D18*1000)/B18</f>
        <v>0</v>
      </c>
      <c r="D18" s="2037">
        <f>' 23a '!G17+' 23a '!D50</f>
        <v>0</v>
      </c>
      <c r="E18" s="543" t="s">
        <v>599</v>
      </c>
    </row>
    <row r="19" spans="1:5" ht="32.25" customHeight="1">
      <c r="A19" s="712" t="s">
        <v>598</v>
      </c>
      <c r="B19" s="2035" t="s">
        <v>464</v>
      </c>
      <c r="C19" s="2040" t="s">
        <v>464</v>
      </c>
      <c r="D19" s="2041" t="s">
        <v>464</v>
      </c>
      <c r="E19" s="543" t="s">
        <v>598</v>
      </c>
    </row>
    <row r="20" spans="1:5" ht="32.25" customHeight="1">
      <c r="A20" s="70"/>
      <c r="B20" s="1409"/>
      <c r="C20" s="2036"/>
      <c r="D20" s="2037"/>
      <c r="E20" s="543"/>
    </row>
    <row r="21" spans="1:5" ht="32.25" customHeight="1">
      <c r="A21" s="713" t="s">
        <v>601</v>
      </c>
      <c r="B21" s="2042">
        <f>SUM(' 23a '!B20+' 23a '!E20+' 23a '!H20+' 23a '!B53+' 23a '!E53+' 23a '!H53)</f>
        <v>1273</v>
      </c>
      <c r="C21" s="2038">
        <f>(D21*1000)/B21</f>
        <v>988.216810683425</v>
      </c>
      <c r="D21" s="841">
        <f>SUM(' 23a '!D20+' 23a '!G20+' 23a '!J20+' 23a '!D53+' 23a '!G53+' 23a '!J53)</f>
        <v>1258</v>
      </c>
      <c r="E21" s="544" t="s">
        <v>602</v>
      </c>
    </row>
    <row r="22" spans="1:5" ht="32.25" customHeight="1">
      <c r="A22" s="712" t="s">
        <v>603</v>
      </c>
      <c r="B22" s="1408">
        <f>SUM(' 23a '!E21+' 23a '!B54+' 23a '!E54)</f>
        <v>279</v>
      </c>
      <c r="C22" s="2036">
        <f>(D22*1000)/B22</f>
        <v>548.3870967741935</v>
      </c>
      <c r="D22" s="798">
        <f>' 23a '!G21+' 23a '!D54+' 23a '!G54</f>
        <v>153</v>
      </c>
      <c r="E22" s="543" t="s">
        <v>604</v>
      </c>
    </row>
    <row r="23" spans="1:5" ht="32.25" customHeight="1">
      <c r="A23" s="712" t="s">
        <v>605</v>
      </c>
      <c r="B23" s="1408">
        <f>SUM(' 23a '!B22+' 23a '!E22+' 23a '!H22+' 23a '!B55+' 23a '!E55)</f>
        <v>706</v>
      </c>
      <c r="C23" s="2036">
        <f>(D23*1000)/B23</f>
        <v>1056.657223796034</v>
      </c>
      <c r="D23" s="798">
        <f>' 23a '!D22+' 23a '!G22+' 23a '!J22+' 23a '!D55+' 23a '!G55</f>
        <v>746</v>
      </c>
      <c r="E23" s="543" t="s">
        <v>606</v>
      </c>
    </row>
    <row r="24" spans="1:5" ht="32.25" customHeight="1">
      <c r="A24" s="712" t="s">
        <v>607</v>
      </c>
      <c r="B24" s="1408" t="s">
        <v>464</v>
      </c>
      <c r="C24" s="2040" t="s">
        <v>464</v>
      </c>
      <c r="D24" s="798" t="s">
        <v>464</v>
      </c>
      <c r="E24" s="543" t="s">
        <v>607</v>
      </c>
    </row>
    <row r="25" spans="1:5" ht="32.25" customHeight="1">
      <c r="A25" s="712" t="s">
        <v>608</v>
      </c>
      <c r="B25" s="1408">
        <f>SUM(' 23a '!B24+' 23a '!H24+' 23a '!B57+' 23a '!E57+' 23a '!H57)</f>
        <v>288</v>
      </c>
      <c r="C25" s="2036">
        <f>(D25*1000)/B25</f>
        <v>1246.5277777777778</v>
      </c>
      <c r="D25" s="798">
        <f>' 23a '!D24+' 23a '!J24+' 23a '!D57+' 23a '!G57+' 23a '!J57</f>
        <v>359</v>
      </c>
      <c r="E25" s="543" t="s">
        <v>608</v>
      </c>
    </row>
    <row r="26" spans="1:5" ht="32.25" customHeight="1">
      <c r="A26" s="71"/>
      <c r="B26" s="1410"/>
      <c r="C26" s="2038"/>
      <c r="D26" s="2039"/>
      <c r="E26" s="545"/>
    </row>
    <row r="27" spans="1:5" ht="32.25" customHeight="1">
      <c r="A27" s="806" t="s">
        <v>1286</v>
      </c>
      <c r="B27" s="1410">
        <f>SUM(' 23a '!B26+' 23a '!E26+' 23a '!H26+' 23a '!B59+' 23a '!E59+' 23a '!H59)</f>
        <v>39569.5</v>
      </c>
      <c r="C27" s="2038">
        <f>(D27*1000)/B27</f>
        <v>2391.349397894843</v>
      </c>
      <c r="D27" s="2039">
        <f>SUM(' 23a '!D26+' 23a '!G26+' 23a '!J26+' 23a '!D59+' 23a '!G59+' 23a '!J59)</f>
        <v>94624.5</v>
      </c>
      <c r="E27" s="408" t="s">
        <v>1286</v>
      </c>
    </row>
    <row r="28" spans="1:5" ht="32.25" customHeight="1">
      <c r="A28" s="70" t="s">
        <v>586</v>
      </c>
      <c r="B28" s="1409">
        <f>SUM(' 23a '!B27+' 23a '!E27+' 23a '!H27+' 23a '!B60+' 23a '!E60+' 23a '!H60)</f>
        <v>32183</v>
      </c>
      <c r="C28" s="2036">
        <f>(D28*1000)/B28</f>
        <v>2440.185812385421</v>
      </c>
      <c r="D28" s="2037">
        <f>SUM(' 23a '!D27+' 23a '!G27+' 23a '!J27+' 23a '!D60+' 23a '!G60+' 23a '!J60)</f>
        <v>78532.5</v>
      </c>
      <c r="E28" s="543" t="s">
        <v>586</v>
      </c>
    </row>
    <row r="29" spans="1:5" ht="32.25" customHeight="1">
      <c r="A29" s="70" t="s">
        <v>587</v>
      </c>
      <c r="B29" s="1409">
        <f>SUM(' 23a '!B28+' 23a '!E28+' 23a '!H28+' 23a '!B61+' 23a '!E61+' 23a '!H61)</f>
        <v>7386.5</v>
      </c>
      <c r="C29" s="2036">
        <f>(D29*1000)/B29</f>
        <v>2178.5690110336423</v>
      </c>
      <c r="D29" s="2037">
        <f>SUM(' 23a '!D28+' 23a '!G28+' 23a '!J28+' 23a '!D61+' 23a '!G61+' 23a '!J61)</f>
        <v>16092</v>
      </c>
      <c r="E29" s="543" t="s">
        <v>587</v>
      </c>
    </row>
    <row r="30" spans="1:5" ht="32.25" customHeight="1">
      <c r="A30" s="70"/>
      <c r="B30" s="1409"/>
      <c r="C30" s="2036"/>
      <c r="D30" s="2037"/>
      <c r="E30" s="543"/>
    </row>
    <row r="31" spans="1:5" ht="32.25" customHeight="1">
      <c r="A31" s="806" t="s">
        <v>1287</v>
      </c>
      <c r="B31" s="2043">
        <f>SUM(B32:B34)</f>
        <v>71</v>
      </c>
      <c r="C31" s="2038">
        <f>(D31*1000)/B31</f>
        <v>2619.718309859155</v>
      </c>
      <c r="D31" s="694">
        <f>SUM(D32:D34)</f>
        <v>186</v>
      </c>
      <c r="E31" s="408" t="s">
        <v>1287</v>
      </c>
    </row>
    <row r="32" spans="1:5" ht="32.25" customHeight="1">
      <c r="A32" s="70" t="s">
        <v>1273</v>
      </c>
      <c r="B32" s="2042" t="s">
        <v>464</v>
      </c>
      <c r="C32" s="2044" t="s">
        <v>464</v>
      </c>
      <c r="D32" s="841" t="s">
        <v>464</v>
      </c>
      <c r="E32" s="543" t="s">
        <v>1273</v>
      </c>
    </row>
    <row r="33" spans="1:5" ht="32.25" customHeight="1">
      <c r="A33" s="70" t="s">
        <v>596</v>
      </c>
      <c r="B33" s="2042" t="s">
        <v>464</v>
      </c>
      <c r="C33" s="2044" t="s">
        <v>464</v>
      </c>
      <c r="D33" s="841" t="s">
        <v>464</v>
      </c>
      <c r="E33" s="543" t="s">
        <v>596</v>
      </c>
    </row>
    <row r="34" spans="1:5" ht="32.25" customHeight="1" thickBot="1">
      <c r="A34" s="72" t="s">
        <v>595</v>
      </c>
      <c r="B34" s="2045">
        <f>SUM(' 23a '!H66)</f>
        <v>71</v>
      </c>
      <c r="C34" s="2046">
        <f>(D34*1000)/B34</f>
        <v>2619.718309859155</v>
      </c>
      <c r="D34" s="572">
        <f>' 23a '!J66</f>
        <v>186</v>
      </c>
      <c r="E34" s="546" t="s">
        <v>595</v>
      </c>
    </row>
  </sheetData>
  <sheetProtection/>
  <printOptions/>
  <pageMargins left="0.7086614173228347" right="0.7086614173228347" top="0.90551181102362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2"/>
  <sheetViews>
    <sheetView zoomScale="65" zoomScaleNormal="65" zoomScalePageLayoutView="0" workbookViewId="0" topLeftCell="A1">
      <pane ySplit="4" topLeftCell="A14" activePane="bottomLeft" state="frozen"/>
      <selection pane="topLeft" activeCell="A1" sqref="A1"/>
      <selection pane="bottomLeft" activeCell="H7" sqref="H7"/>
    </sheetView>
  </sheetViews>
  <sheetFormatPr defaultColWidth="9.7109375" defaultRowHeight="12.75"/>
  <cols>
    <col min="1" max="1" width="61.7109375" style="157" customWidth="1"/>
    <col min="2" max="2" width="13.140625" style="157" customWidth="1"/>
    <col min="3" max="3" width="17.7109375" style="157" customWidth="1"/>
    <col min="4" max="4" width="16.57421875" style="157" customWidth="1"/>
    <col min="5" max="5" width="16.140625" style="157" customWidth="1"/>
    <col min="6" max="6" width="16.00390625" style="157" customWidth="1"/>
    <col min="7" max="7" width="14.8515625" style="156" customWidth="1"/>
    <col min="8" max="16384" width="9.7109375" style="157" customWidth="1"/>
  </cols>
  <sheetData>
    <row r="1" s="166" customFormat="1" ht="32.25" customHeight="1">
      <c r="A1" s="166" t="s">
        <v>206</v>
      </c>
    </row>
    <row r="2" spans="1:7" ht="32.25" customHeight="1" thickBot="1">
      <c r="A2" s="159"/>
      <c r="B2" s="159"/>
      <c r="C2" s="159"/>
      <c r="D2" s="159"/>
      <c r="E2" s="159"/>
      <c r="F2" s="159"/>
      <c r="G2" s="166"/>
    </row>
    <row r="3" spans="1:7" ht="32.25" customHeight="1">
      <c r="A3" s="632" t="s">
        <v>683</v>
      </c>
      <c r="B3" s="632" t="s">
        <v>684</v>
      </c>
      <c r="C3" s="632" t="s">
        <v>685</v>
      </c>
      <c r="D3" s="632" t="s">
        <v>686</v>
      </c>
      <c r="E3" s="632" t="s">
        <v>586</v>
      </c>
      <c r="F3" s="632" t="s">
        <v>1273</v>
      </c>
      <c r="G3" s="632" t="s">
        <v>472</v>
      </c>
    </row>
    <row r="4" spans="1:7" ht="32.25" customHeight="1" thickBot="1">
      <c r="A4" s="636" t="s">
        <v>687</v>
      </c>
      <c r="B4" s="1281" t="s">
        <v>688</v>
      </c>
      <c r="C4" s="1281" t="s">
        <v>689</v>
      </c>
      <c r="D4" s="1281" t="s">
        <v>690</v>
      </c>
      <c r="E4" s="1281" t="s">
        <v>1408</v>
      </c>
      <c r="F4" s="1281" t="s">
        <v>1409</v>
      </c>
      <c r="G4" s="1281" t="s">
        <v>480</v>
      </c>
    </row>
    <row r="5" spans="1:7" ht="38.25" customHeight="1">
      <c r="A5" s="1282" t="s">
        <v>691</v>
      </c>
      <c r="B5" s="1283"/>
      <c r="C5" s="1284"/>
      <c r="D5" s="1284"/>
      <c r="E5" s="1284"/>
      <c r="F5" s="1284"/>
      <c r="G5" s="1298"/>
    </row>
    <row r="6" spans="1:7" ht="38.25" customHeight="1">
      <c r="A6" s="1285" t="s">
        <v>692</v>
      </c>
      <c r="B6" s="1286" t="s">
        <v>464</v>
      </c>
      <c r="C6" s="1287">
        <v>129</v>
      </c>
      <c r="D6" s="1287">
        <v>97</v>
      </c>
      <c r="E6" s="1287">
        <v>25614</v>
      </c>
      <c r="F6" s="1288" t="s">
        <v>464</v>
      </c>
      <c r="G6" s="1302">
        <f>SUM(B6:F6)</f>
        <v>25840</v>
      </c>
    </row>
    <row r="7" spans="1:7" ht="38.25" customHeight="1">
      <c r="A7" s="1285" t="s">
        <v>693</v>
      </c>
      <c r="B7" s="1286" t="s">
        <v>464</v>
      </c>
      <c r="C7" s="1287">
        <v>340</v>
      </c>
      <c r="D7" s="1288" t="s">
        <v>464</v>
      </c>
      <c r="E7" s="1288">
        <v>34711</v>
      </c>
      <c r="F7" s="1288" t="s">
        <v>464</v>
      </c>
      <c r="G7" s="1302">
        <f>SUM(B7:F7)</f>
        <v>35051</v>
      </c>
    </row>
    <row r="8" spans="1:7" ht="38.25" customHeight="1" thickBot="1">
      <c r="A8" s="1289" t="s">
        <v>694</v>
      </c>
      <c r="B8" s="1286" t="s">
        <v>464</v>
      </c>
      <c r="C8" s="1290">
        <v>140</v>
      </c>
      <c r="D8" s="1290">
        <v>151</v>
      </c>
      <c r="E8" s="1290">
        <v>23289</v>
      </c>
      <c r="F8" s="1288" t="s">
        <v>464</v>
      </c>
      <c r="G8" s="1302">
        <f>SUM(B8:F8)</f>
        <v>23580</v>
      </c>
    </row>
    <row r="9" spans="1:7" ht="38.25" customHeight="1">
      <c r="A9" s="1282" t="s">
        <v>695</v>
      </c>
      <c r="B9" s="1283"/>
      <c r="C9" s="1284"/>
      <c r="D9" s="1284"/>
      <c r="E9" s="1284"/>
      <c r="F9" s="1284"/>
      <c r="G9" s="1298"/>
    </row>
    <row r="10" spans="1:7" ht="38.25" customHeight="1">
      <c r="A10" s="1285" t="s">
        <v>692</v>
      </c>
      <c r="B10" s="1286" t="s">
        <v>464</v>
      </c>
      <c r="C10" s="1287">
        <v>42</v>
      </c>
      <c r="D10" s="1287">
        <v>16</v>
      </c>
      <c r="E10" s="1287">
        <v>2162</v>
      </c>
      <c r="F10" s="1287">
        <v>13</v>
      </c>
      <c r="G10" s="1302">
        <f>SUM(B10:F10)</f>
        <v>2233</v>
      </c>
    </row>
    <row r="11" spans="1:7" ht="38.25" customHeight="1">
      <c r="A11" s="1285" t="s">
        <v>693</v>
      </c>
      <c r="B11" s="1286" t="s">
        <v>464</v>
      </c>
      <c r="C11" s="1287">
        <v>13</v>
      </c>
      <c r="D11" s="1288" t="s">
        <v>464</v>
      </c>
      <c r="E11" s="1288">
        <v>2586</v>
      </c>
      <c r="F11" s="1288" t="s">
        <v>464</v>
      </c>
      <c r="G11" s="1302">
        <f>SUM(B11:F11)</f>
        <v>2599</v>
      </c>
    </row>
    <row r="12" spans="1:7" ht="38.25" customHeight="1" thickBot="1">
      <c r="A12" s="1289" t="s">
        <v>694</v>
      </c>
      <c r="B12" s="1291" t="s">
        <v>464</v>
      </c>
      <c r="C12" s="1290">
        <v>82</v>
      </c>
      <c r="D12" s="1290">
        <v>22</v>
      </c>
      <c r="E12" s="1290">
        <v>2114</v>
      </c>
      <c r="F12" s="1290">
        <v>37</v>
      </c>
      <c r="G12" s="1302">
        <f>SUM(B12:F12)</f>
        <v>2255</v>
      </c>
    </row>
    <row r="13" spans="1:7" ht="38.25" customHeight="1">
      <c r="A13" s="1282" t="s">
        <v>696</v>
      </c>
      <c r="B13" s="1283"/>
      <c r="C13" s="1284"/>
      <c r="D13" s="1284"/>
      <c r="E13" s="1284"/>
      <c r="F13" s="1284"/>
      <c r="G13" s="1298"/>
    </row>
    <row r="14" spans="1:7" ht="38.25" customHeight="1">
      <c r="A14" s="1285" t="s">
        <v>692</v>
      </c>
      <c r="B14" s="1286" t="s">
        <v>464</v>
      </c>
      <c r="C14" s="1288" t="s">
        <v>464</v>
      </c>
      <c r="D14" s="1292">
        <v>9</v>
      </c>
      <c r="E14" s="1292">
        <v>125.5</v>
      </c>
      <c r="F14" s="1288" t="s">
        <v>464</v>
      </c>
      <c r="G14" s="1310">
        <f>SUM(B14:F14)</f>
        <v>134.5</v>
      </c>
    </row>
    <row r="15" spans="1:7" ht="38.25" customHeight="1">
      <c r="A15" s="1285" t="s">
        <v>693</v>
      </c>
      <c r="B15" s="1286" t="s">
        <v>464</v>
      </c>
      <c r="C15" s="1288" t="s">
        <v>464</v>
      </c>
      <c r="D15" s="1288" t="s">
        <v>464</v>
      </c>
      <c r="E15" s="1288">
        <v>373</v>
      </c>
      <c r="F15" s="1288" t="s">
        <v>464</v>
      </c>
      <c r="G15" s="1310">
        <f>SUM(B15:F15)</f>
        <v>373</v>
      </c>
    </row>
    <row r="16" spans="1:7" ht="38.25" customHeight="1" thickBot="1">
      <c r="A16" s="1289" t="s">
        <v>694</v>
      </c>
      <c r="B16" s="1291" t="s">
        <v>464</v>
      </c>
      <c r="C16" s="1288" t="s">
        <v>464</v>
      </c>
      <c r="D16" s="1293">
        <v>21</v>
      </c>
      <c r="E16" s="1293">
        <v>177</v>
      </c>
      <c r="F16" s="1288" t="s">
        <v>464</v>
      </c>
      <c r="G16" s="1310">
        <f>SUM(B16:F16)</f>
        <v>198</v>
      </c>
    </row>
    <row r="17" spans="1:7" ht="38.25" customHeight="1">
      <c r="A17" s="1282" t="s">
        <v>697</v>
      </c>
      <c r="B17" s="1283"/>
      <c r="C17" s="1284"/>
      <c r="D17" s="1284"/>
      <c r="E17" s="1284"/>
      <c r="F17" s="1284"/>
      <c r="G17" s="1298"/>
    </row>
    <row r="18" spans="1:7" ht="38.25" customHeight="1">
      <c r="A18" s="1285" t="s">
        <v>692</v>
      </c>
      <c r="B18" s="1286" t="s">
        <v>464</v>
      </c>
      <c r="C18" s="1287">
        <v>30</v>
      </c>
      <c r="D18" s="1287">
        <v>66</v>
      </c>
      <c r="E18" s="1287">
        <v>2772</v>
      </c>
      <c r="F18" s="1288" t="s">
        <v>464</v>
      </c>
      <c r="G18" s="1302">
        <f>SUM(B18:F18)</f>
        <v>2868</v>
      </c>
    </row>
    <row r="19" spans="1:7" ht="38.25" customHeight="1">
      <c r="A19" s="1285" t="s">
        <v>693</v>
      </c>
      <c r="B19" s="1286" t="s">
        <v>464</v>
      </c>
      <c r="C19" s="1287">
        <v>7</v>
      </c>
      <c r="D19" s="1288" t="s">
        <v>464</v>
      </c>
      <c r="E19" s="1288">
        <v>5157</v>
      </c>
      <c r="F19" s="1288" t="s">
        <v>464</v>
      </c>
      <c r="G19" s="1302">
        <f>SUM(B19:F19)</f>
        <v>5164</v>
      </c>
    </row>
    <row r="20" spans="1:7" ht="38.25" customHeight="1" thickBot="1">
      <c r="A20" s="1289" t="s">
        <v>694</v>
      </c>
      <c r="B20" s="1291" t="s">
        <v>464</v>
      </c>
      <c r="C20" s="1290">
        <v>100</v>
      </c>
      <c r="D20" s="1290">
        <v>102</v>
      </c>
      <c r="E20" s="1290">
        <v>2843</v>
      </c>
      <c r="F20" s="1288" t="s">
        <v>464</v>
      </c>
      <c r="G20" s="1302">
        <f>SUM(B20:F20)</f>
        <v>3045</v>
      </c>
    </row>
    <row r="21" spans="1:7" ht="38.25" customHeight="1">
      <c r="A21" s="1282" t="s">
        <v>698</v>
      </c>
      <c r="B21" s="1294"/>
      <c r="C21" s="1295"/>
      <c r="D21" s="1295"/>
      <c r="E21" s="1295"/>
      <c r="F21" s="1295"/>
      <c r="G21" s="2588"/>
    </row>
    <row r="22" spans="1:7" ht="38.25" customHeight="1">
      <c r="A22" s="1285" t="s">
        <v>692</v>
      </c>
      <c r="B22" s="1286" t="s">
        <v>464</v>
      </c>
      <c r="C22" s="1287">
        <v>52</v>
      </c>
      <c r="D22" s="1287">
        <v>1076</v>
      </c>
      <c r="E22" s="1287">
        <v>1648</v>
      </c>
      <c r="F22" s="1288" t="s">
        <v>464</v>
      </c>
      <c r="G22" s="1302">
        <f>SUM(B22:F22)</f>
        <v>2776</v>
      </c>
    </row>
    <row r="23" spans="1:7" ht="38.25" customHeight="1">
      <c r="A23" s="1285" t="s">
        <v>693</v>
      </c>
      <c r="B23" s="1286" t="s">
        <v>464</v>
      </c>
      <c r="C23" s="1287"/>
      <c r="D23" s="1288"/>
      <c r="E23" s="1288">
        <v>3691</v>
      </c>
      <c r="F23" s="1288" t="s">
        <v>464</v>
      </c>
      <c r="G23" s="1302">
        <f>SUM(B23:F23)</f>
        <v>3691</v>
      </c>
    </row>
    <row r="24" spans="1:7" ht="38.25" customHeight="1" thickBot="1">
      <c r="A24" s="1289" t="s">
        <v>694</v>
      </c>
      <c r="B24" s="1291" t="s">
        <v>464</v>
      </c>
      <c r="C24" s="1290">
        <v>131</v>
      </c>
      <c r="D24" s="1290">
        <v>940</v>
      </c>
      <c r="E24" s="1290">
        <v>2309</v>
      </c>
      <c r="F24" s="1288" t="s">
        <v>464</v>
      </c>
      <c r="G24" s="1302">
        <f>SUM(B24:F24)</f>
        <v>3380</v>
      </c>
    </row>
    <row r="25" spans="1:7" ht="38.25" customHeight="1">
      <c r="A25" s="1282" t="s">
        <v>699</v>
      </c>
      <c r="B25" s="1283"/>
      <c r="C25" s="1284"/>
      <c r="D25" s="1284"/>
      <c r="E25" s="1284"/>
      <c r="F25" s="1284"/>
      <c r="G25" s="1298"/>
    </row>
    <row r="26" spans="1:7" ht="38.25" customHeight="1">
      <c r="A26" s="1285" t="s">
        <v>692</v>
      </c>
      <c r="B26" s="1286" t="s">
        <v>464</v>
      </c>
      <c r="C26" s="1292">
        <v>19</v>
      </c>
      <c r="D26" s="1287">
        <v>9</v>
      </c>
      <c r="E26" s="1287">
        <v>2601</v>
      </c>
      <c r="F26" s="1287">
        <v>71</v>
      </c>
      <c r="G26" s="1310">
        <f>SUM(B26:F26)</f>
        <v>2700</v>
      </c>
    </row>
    <row r="27" spans="1:7" ht="38.25" customHeight="1">
      <c r="A27" s="1285" t="s">
        <v>693</v>
      </c>
      <c r="B27" s="1286" t="s">
        <v>464</v>
      </c>
      <c r="C27" s="1287">
        <v>9</v>
      </c>
      <c r="D27" s="1288" t="s">
        <v>464</v>
      </c>
      <c r="E27" s="1288">
        <v>4203</v>
      </c>
      <c r="F27" s="1288" t="s">
        <v>464</v>
      </c>
      <c r="G27" s="1310">
        <f>SUM(B27:F27)</f>
        <v>4212</v>
      </c>
    </row>
    <row r="28" spans="1:7" ht="38.25" customHeight="1" thickBot="1">
      <c r="A28" s="1289" t="s">
        <v>694</v>
      </c>
      <c r="B28" s="1291" t="s">
        <v>464</v>
      </c>
      <c r="C28" s="1293">
        <v>28</v>
      </c>
      <c r="D28" s="1290">
        <v>22</v>
      </c>
      <c r="E28" s="1290">
        <v>2797</v>
      </c>
      <c r="F28" s="1290">
        <v>186</v>
      </c>
      <c r="G28" s="1310">
        <f>SUM(C28:F28)</f>
        <v>3033</v>
      </c>
    </row>
    <row r="29" spans="1:7" ht="38.25" customHeight="1">
      <c r="A29" s="1282" t="s">
        <v>1574</v>
      </c>
      <c r="B29" s="1296"/>
      <c r="C29" s="1297">
        <f>SUM(C31:C32)</f>
        <v>850</v>
      </c>
      <c r="D29" s="1297">
        <f>SUM(D31:D32)</f>
        <v>1258</v>
      </c>
      <c r="E29" s="1297">
        <f>SUM(E31:E32)</f>
        <v>84250</v>
      </c>
      <c r="F29" s="1297">
        <f>SUM(F31:F32)</f>
        <v>223</v>
      </c>
      <c r="G29" s="1298">
        <f>SUM(C29:F29)</f>
        <v>86581</v>
      </c>
    </row>
    <row r="30" spans="1:7" ht="38.25" customHeight="1">
      <c r="A30" s="1299" t="s">
        <v>1411</v>
      </c>
      <c r="B30" s="1300" t="s">
        <v>464</v>
      </c>
      <c r="C30" s="1301">
        <f>SUM(C6+C10+C18+C22+C26)</f>
        <v>272</v>
      </c>
      <c r="D30" s="1301">
        <f>SUM(D6+D10+D14+D18+D22+D26)</f>
        <v>1273</v>
      </c>
      <c r="E30" s="1301">
        <f>SUM(E6+E10+E14+E18+E22+E26)</f>
        <v>34922.5</v>
      </c>
      <c r="F30" s="1301">
        <f>SUM(F10+F26)</f>
        <v>84</v>
      </c>
      <c r="G30" s="1302">
        <f>SUM(B30:F30)</f>
        <v>36551.5</v>
      </c>
    </row>
    <row r="31" spans="1:7" ht="38.25" customHeight="1">
      <c r="A31" s="1299" t="s">
        <v>1410</v>
      </c>
      <c r="B31" s="1300" t="s">
        <v>464</v>
      </c>
      <c r="C31" s="1301">
        <f>SUM(C7+C11+C19+C23+C27)</f>
        <v>369</v>
      </c>
      <c r="D31" s="1303" t="s">
        <v>464</v>
      </c>
      <c r="E31" s="1301">
        <f>SUM(E7+E11+E19+E23+E27+E15)</f>
        <v>50721</v>
      </c>
      <c r="F31" s="1303" t="s">
        <v>464</v>
      </c>
      <c r="G31" s="1302">
        <f>SUM(C31:F31)</f>
        <v>51090</v>
      </c>
    </row>
    <row r="32" spans="1:7" ht="38.25" customHeight="1" thickBot="1">
      <c r="A32" s="1304" t="s">
        <v>1412</v>
      </c>
      <c r="B32" s="1305" t="s">
        <v>464</v>
      </c>
      <c r="C32" s="1306">
        <f>SUM(C8+C12+C20+C24+C28)</f>
        <v>481</v>
      </c>
      <c r="D32" s="1306">
        <f>SUM(D8+D12+D16+D20+D24+D28)</f>
        <v>1258</v>
      </c>
      <c r="E32" s="1306">
        <f>SUM(E8+E12+E16+E20+E24+E28)</f>
        <v>33529</v>
      </c>
      <c r="F32" s="1306">
        <f>SUM(F12+F28)</f>
        <v>223</v>
      </c>
      <c r="G32" s="1307">
        <f>SUM(B32:F32)</f>
        <v>35491</v>
      </c>
    </row>
  </sheetData>
  <sheetProtection/>
  <printOptions/>
  <pageMargins left="0.7086614173228347" right="0.5905511811023623" top="0.984251968503937" bottom="0.984251968503937" header="0.5118110236220472" footer="0.5118110236220472"/>
  <pageSetup horizontalDpi="300" verticalDpi="3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1"/>
  <sheetViews>
    <sheetView zoomScale="64" zoomScaleNormal="64" zoomScalePageLayoutView="0" workbookViewId="0" topLeftCell="A1">
      <selection activeCell="J45" sqref="J45:J53"/>
    </sheetView>
  </sheetViews>
  <sheetFormatPr defaultColWidth="9.140625" defaultRowHeight="12.75"/>
  <cols>
    <col min="1" max="1" width="15.57421875" style="108" customWidth="1"/>
    <col min="2" max="6" width="19.00390625" style="159" customWidth="1"/>
    <col min="7" max="7" width="24.421875" style="166" customWidth="1"/>
    <col min="8" max="9" width="9.140625" style="108" customWidth="1"/>
    <col min="10" max="10" width="14.00390625" style="108" customWidth="1"/>
    <col min="11" max="11" width="9.140625" style="108" customWidth="1"/>
    <col min="12" max="12" width="10.28125" style="108" customWidth="1"/>
    <col min="13" max="13" width="12.421875" style="108" bestFit="1" customWidth="1"/>
    <col min="14" max="15" width="9.140625" style="108" customWidth="1"/>
    <col min="16" max="16" width="16.28125" style="108" customWidth="1"/>
    <col min="17" max="16384" width="9.140625" style="108" customWidth="1"/>
  </cols>
  <sheetData>
    <row r="1" ht="20.25">
      <c r="A1" s="154" t="s">
        <v>1512</v>
      </c>
    </row>
    <row r="2" ht="21" thickBot="1"/>
    <row r="3" spans="1:7" ht="21" thickBot="1">
      <c r="A3" s="1206" t="s">
        <v>474</v>
      </c>
      <c r="B3" s="633" t="s">
        <v>700</v>
      </c>
      <c r="C3" s="634"/>
      <c r="D3" s="634"/>
      <c r="E3" s="634"/>
      <c r="F3" s="634"/>
      <c r="G3" s="635"/>
    </row>
    <row r="4" spans="1:7" ht="20.25">
      <c r="A4" s="1010" t="s">
        <v>475</v>
      </c>
      <c r="B4" s="632" t="s">
        <v>701</v>
      </c>
      <c r="C4" s="632" t="s">
        <v>555</v>
      </c>
      <c r="D4" s="632" t="s">
        <v>702</v>
      </c>
      <c r="E4" s="632" t="s">
        <v>703</v>
      </c>
      <c r="F4" s="632" t="s">
        <v>704</v>
      </c>
      <c r="G4" s="632" t="s">
        <v>472</v>
      </c>
    </row>
    <row r="5" spans="1:15" ht="21" thickBot="1">
      <c r="A5" s="1308"/>
      <c r="B5" s="1281" t="s">
        <v>705</v>
      </c>
      <c r="C5" s="1281" t="s">
        <v>706</v>
      </c>
      <c r="D5" s="1281" t="s">
        <v>707</v>
      </c>
      <c r="E5" s="1281" t="s">
        <v>708</v>
      </c>
      <c r="F5" s="1281" t="s">
        <v>709</v>
      </c>
      <c r="G5" s="1281" t="s">
        <v>480</v>
      </c>
      <c r="L5" s="108" t="s">
        <v>1518</v>
      </c>
      <c r="O5" s="108" t="s">
        <v>388</v>
      </c>
    </row>
    <row r="6" spans="1:16" ht="20.25">
      <c r="A6" s="1309" t="s">
        <v>720</v>
      </c>
      <c r="B6" s="1287">
        <v>57923</v>
      </c>
      <c r="C6" s="1287">
        <v>19241</v>
      </c>
      <c r="D6" s="1287">
        <v>8587</v>
      </c>
      <c r="E6" s="1287">
        <v>207</v>
      </c>
      <c r="F6" s="1301" t="s">
        <v>464</v>
      </c>
      <c r="G6" s="1310">
        <f aca="true" t="shared" si="0" ref="G6:G15">SUM(B6:F6)</f>
        <v>85958</v>
      </c>
      <c r="L6" s="108" t="s">
        <v>1519</v>
      </c>
      <c r="M6" s="108">
        <f>(M7+M8+M12)</f>
        <v>72050</v>
      </c>
      <c r="O6" s="108" t="s">
        <v>389</v>
      </c>
      <c r="P6" s="2692">
        <v>41570.248</v>
      </c>
    </row>
    <row r="7" spans="1:16" ht="20.25">
      <c r="A7" s="1309" t="s">
        <v>721</v>
      </c>
      <c r="B7" s="1287">
        <v>92510</v>
      </c>
      <c r="C7" s="1287">
        <v>13040</v>
      </c>
      <c r="D7" s="1287">
        <v>6501</v>
      </c>
      <c r="E7" s="1287">
        <v>293</v>
      </c>
      <c r="F7" s="1301" t="s">
        <v>464</v>
      </c>
      <c r="G7" s="1310">
        <f t="shared" si="0"/>
        <v>112344</v>
      </c>
      <c r="L7" s="108" t="s">
        <v>1523</v>
      </c>
      <c r="M7" s="108">
        <v>66145</v>
      </c>
      <c r="O7" s="108" t="s">
        <v>1524</v>
      </c>
      <c r="P7" s="2692">
        <v>2070.019</v>
      </c>
    </row>
    <row r="8" spans="1:16" ht="20.25">
      <c r="A8" s="1309" t="s">
        <v>722</v>
      </c>
      <c r="B8" s="1287">
        <v>81044</v>
      </c>
      <c r="C8" s="1287">
        <v>19637</v>
      </c>
      <c r="D8" s="1287">
        <v>8227</v>
      </c>
      <c r="E8" s="1287">
        <v>173</v>
      </c>
      <c r="F8" s="1301" t="s">
        <v>464</v>
      </c>
      <c r="G8" s="1310">
        <f t="shared" si="0"/>
        <v>109081</v>
      </c>
      <c r="L8" s="108" t="s">
        <v>1524</v>
      </c>
      <c r="M8" s="108">
        <v>5334</v>
      </c>
      <c r="O8" s="108" t="s">
        <v>390</v>
      </c>
      <c r="P8" s="2692"/>
    </row>
    <row r="9" spans="1:16" ht="20.25">
      <c r="A9" s="1309" t="s">
        <v>723</v>
      </c>
      <c r="B9" s="1287">
        <v>67325</v>
      </c>
      <c r="C9" s="1287">
        <v>16052</v>
      </c>
      <c r="D9" s="1287">
        <v>6475</v>
      </c>
      <c r="E9" s="1287">
        <v>205</v>
      </c>
      <c r="F9" s="1301" t="s">
        <v>464</v>
      </c>
      <c r="G9" s="1310">
        <f t="shared" si="0"/>
        <v>90057</v>
      </c>
      <c r="L9" s="108" t="s">
        <v>1520</v>
      </c>
      <c r="M9" s="108">
        <v>10093</v>
      </c>
      <c r="O9" s="108" t="s">
        <v>1522</v>
      </c>
      <c r="P9" s="2692">
        <v>2772.527</v>
      </c>
    </row>
    <row r="10" spans="1:16" ht="20.25">
      <c r="A10" s="1309" t="s">
        <v>724</v>
      </c>
      <c r="B10" s="1287">
        <v>72248</v>
      </c>
      <c r="C10" s="1287">
        <v>18564</v>
      </c>
      <c r="D10" s="1287">
        <v>5139</v>
      </c>
      <c r="E10" s="1287">
        <v>179</v>
      </c>
      <c r="F10" s="1301" t="s">
        <v>464</v>
      </c>
      <c r="G10" s="1310">
        <f t="shared" si="0"/>
        <v>96130</v>
      </c>
      <c r="L10" s="108" t="s">
        <v>1521</v>
      </c>
      <c r="M10" s="108">
        <v>6875</v>
      </c>
      <c r="O10" s="108" t="s">
        <v>391</v>
      </c>
      <c r="P10" s="2692">
        <v>1961.682</v>
      </c>
    </row>
    <row r="11" spans="1:16" ht="20.25">
      <c r="A11" s="1309" t="s">
        <v>725</v>
      </c>
      <c r="B11" s="1287">
        <v>69577</v>
      </c>
      <c r="C11" s="1287">
        <v>8303</v>
      </c>
      <c r="D11" s="1287">
        <v>3808</v>
      </c>
      <c r="E11" s="1287">
        <v>327</v>
      </c>
      <c r="F11" s="1301" t="s">
        <v>464</v>
      </c>
      <c r="G11" s="1310">
        <f t="shared" si="0"/>
        <v>82015</v>
      </c>
      <c r="L11" s="108" t="s">
        <v>1522</v>
      </c>
      <c r="M11" s="108">
        <v>7813</v>
      </c>
      <c r="O11" s="108" t="s">
        <v>1520</v>
      </c>
      <c r="P11" s="2692">
        <v>4944.028</v>
      </c>
    </row>
    <row r="12" spans="1:16" ht="20.25">
      <c r="A12" s="1309" t="s">
        <v>726</v>
      </c>
      <c r="B12" s="1287">
        <v>60494</v>
      </c>
      <c r="C12" s="1287">
        <v>8126</v>
      </c>
      <c r="D12" s="1287">
        <v>5545</v>
      </c>
      <c r="E12" s="1287">
        <v>557</v>
      </c>
      <c r="F12" s="1301" t="s">
        <v>464</v>
      </c>
      <c r="G12" s="1310">
        <f t="shared" si="0"/>
        <v>74722</v>
      </c>
      <c r="L12" s="108" t="s">
        <v>1525</v>
      </c>
      <c r="M12" s="108">
        <v>571</v>
      </c>
      <c r="P12" s="2692">
        <f>SUM(P6:P11)</f>
        <v>53318.504</v>
      </c>
    </row>
    <row r="13" spans="1:7" ht="20.25">
      <c r="A13" s="1309" t="s">
        <v>727</v>
      </c>
      <c r="B13" s="1287">
        <v>51713</v>
      </c>
      <c r="C13" s="1287">
        <v>6765</v>
      </c>
      <c r="D13" s="1287">
        <v>6557</v>
      </c>
      <c r="E13" s="1287" t="s">
        <v>464</v>
      </c>
      <c r="F13" s="1301" t="s">
        <v>464</v>
      </c>
      <c r="G13" s="1310">
        <f t="shared" si="0"/>
        <v>65035</v>
      </c>
    </row>
    <row r="14" spans="1:16" ht="20.25">
      <c r="A14" s="1309" t="s">
        <v>728</v>
      </c>
      <c r="B14" s="1287">
        <v>85662</v>
      </c>
      <c r="C14" s="1287">
        <v>12633</v>
      </c>
      <c r="D14" s="1287">
        <v>4116</v>
      </c>
      <c r="E14" s="1287">
        <v>811</v>
      </c>
      <c r="F14" s="1301" t="s">
        <v>464</v>
      </c>
      <c r="G14" s="1310">
        <f t="shared" si="0"/>
        <v>103222</v>
      </c>
      <c r="L14" s="108" t="s">
        <v>1526</v>
      </c>
      <c r="M14" s="108">
        <f>SUM(M7:M12)</f>
        <v>96831</v>
      </c>
      <c r="O14" s="108" t="s">
        <v>1519</v>
      </c>
      <c r="P14" s="2692">
        <f>SUM(P6:P8)</f>
        <v>43640.267</v>
      </c>
    </row>
    <row r="15" spans="1:7" ht="20.25">
      <c r="A15" s="1309" t="s">
        <v>731</v>
      </c>
      <c r="B15" s="1287">
        <v>82775</v>
      </c>
      <c r="C15" s="1287">
        <v>13393</v>
      </c>
      <c r="D15" s="1287">
        <v>6922</v>
      </c>
      <c r="E15" s="1287">
        <v>1092</v>
      </c>
      <c r="F15" s="1301" t="s">
        <v>464</v>
      </c>
      <c r="G15" s="1310">
        <f t="shared" si="0"/>
        <v>104182</v>
      </c>
    </row>
    <row r="16" spans="1:7" ht="20.25">
      <c r="A16" s="1311" t="s">
        <v>424</v>
      </c>
      <c r="B16" s="1312">
        <v>78616</v>
      </c>
      <c r="C16" s="1312">
        <v>10216</v>
      </c>
      <c r="D16" s="1312">
        <v>6318</v>
      </c>
      <c r="E16" s="1312">
        <v>1177</v>
      </c>
      <c r="F16" s="1314" t="s">
        <v>464</v>
      </c>
      <c r="G16" s="1313">
        <f aca="true" t="shared" si="1" ref="G16:G21">SUM(B16:F16)</f>
        <v>96327</v>
      </c>
    </row>
    <row r="17" spans="1:7" ht="20.25">
      <c r="A17" s="1311" t="s">
        <v>481</v>
      </c>
      <c r="B17" s="1312">
        <v>75980</v>
      </c>
      <c r="C17" s="1312">
        <v>18339</v>
      </c>
      <c r="D17" s="1312">
        <v>4692</v>
      </c>
      <c r="E17" s="1312">
        <v>2120</v>
      </c>
      <c r="F17" s="1314" t="s">
        <v>464</v>
      </c>
      <c r="G17" s="1313">
        <f t="shared" si="1"/>
        <v>101131</v>
      </c>
    </row>
    <row r="18" spans="1:7" ht="20.25">
      <c r="A18" s="1311" t="s">
        <v>1288</v>
      </c>
      <c r="B18" s="1312">
        <f>(83149.505+2038.767)</f>
        <v>85188.27200000001</v>
      </c>
      <c r="C18" s="1312">
        <v>8255.274</v>
      </c>
      <c r="D18" s="1312">
        <v>2909.38</v>
      </c>
      <c r="E18" s="1312">
        <v>3282.472</v>
      </c>
      <c r="F18" s="2398" t="s">
        <v>464</v>
      </c>
      <c r="G18" s="1313">
        <f t="shared" si="1"/>
        <v>99635.39800000002</v>
      </c>
    </row>
    <row r="19" spans="1:7" ht="20.25">
      <c r="A19" s="1311" t="s">
        <v>1517</v>
      </c>
      <c r="B19" s="1312">
        <v>94448.281</v>
      </c>
      <c r="C19" s="1312">
        <v>9028.959</v>
      </c>
      <c r="D19" s="1312">
        <v>5431.577</v>
      </c>
      <c r="E19" s="1312">
        <v>3380.058</v>
      </c>
      <c r="F19" s="2398" t="s">
        <v>464</v>
      </c>
      <c r="G19" s="1313">
        <f t="shared" si="1"/>
        <v>112288.87500000001</v>
      </c>
    </row>
    <row r="20" spans="1:7" ht="21" thickBot="1">
      <c r="A20" s="2449" t="s">
        <v>1649</v>
      </c>
      <c r="B20" s="1290">
        <v>71941.702</v>
      </c>
      <c r="C20" s="1290">
        <v>6783.682</v>
      </c>
      <c r="D20" s="1290">
        <v>3569.477</v>
      </c>
      <c r="E20" s="1290">
        <v>2232.161</v>
      </c>
      <c r="F20" s="2535" t="s">
        <v>464</v>
      </c>
      <c r="G20" s="2589">
        <f t="shared" si="1"/>
        <v>84527.022</v>
      </c>
    </row>
    <row r="21" spans="1:7" ht="21" thickBot="1">
      <c r="A21" s="1097" t="s">
        <v>207</v>
      </c>
      <c r="B21" s="678">
        <v>43640.267</v>
      </c>
      <c r="C21" s="678">
        <v>4944.028</v>
      </c>
      <c r="D21" s="678">
        <v>1961.682</v>
      </c>
      <c r="E21" s="678">
        <v>2772.527</v>
      </c>
      <c r="F21" s="1317" t="s">
        <v>464</v>
      </c>
      <c r="G21" s="635">
        <f t="shared" si="1"/>
        <v>53318.504</v>
      </c>
    </row>
    <row r="22" ht="21" thickBot="1"/>
    <row r="23" spans="1:7" ht="21" thickBot="1">
      <c r="A23" s="1206" t="s">
        <v>474</v>
      </c>
      <c r="B23" s="633" t="s">
        <v>729</v>
      </c>
      <c r="C23" s="634"/>
      <c r="D23" s="634"/>
      <c r="E23" s="634"/>
      <c r="F23" s="634"/>
      <c r="G23" s="635"/>
    </row>
    <row r="24" spans="1:7" ht="20.25">
      <c r="A24" s="1010" t="s">
        <v>475</v>
      </c>
      <c r="B24" s="632" t="s">
        <v>701</v>
      </c>
      <c r="C24" s="632" t="s">
        <v>555</v>
      </c>
      <c r="D24" s="632" t="s">
        <v>702</v>
      </c>
      <c r="E24" s="632" t="s">
        <v>703</v>
      </c>
      <c r="F24" s="632" t="s">
        <v>704</v>
      </c>
      <c r="G24" s="632" t="s">
        <v>472</v>
      </c>
    </row>
    <row r="25" spans="1:7" ht="21" thickBot="1">
      <c r="A25" s="1308"/>
      <c r="B25" s="1281" t="s">
        <v>705</v>
      </c>
      <c r="C25" s="1281" t="s">
        <v>706</v>
      </c>
      <c r="D25" s="1281" t="s">
        <v>707</v>
      </c>
      <c r="E25" s="1281" t="s">
        <v>708</v>
      </c>
      <c r="F25" s="1281" t="s">
        <v>709</v>
      </c>
      <c r="G25" s="1281" t="s">
        <v>480</v>
      </c>
    </row>
    <row r="26" spans="1:7" ht="20.25">
      <c r="A26" s="1309" t="s">
        <v>720</v>
      </c>
      <c r="B26" s="1287">
        <v>14561</v>
      </c>
      <c r="C26" s="1287">
        <v>896</v>
      </c>
      <c r="D26" s="1287">
        <v>5600</v>
      </c>
      <c r="E26" s="1287">
        <v>1120</v>
      </c>
      <c r="F26" s="1301" t="s">
        <v>464</v>
      </c>
      <c r="G26" s="1310">
        <f aca="true" t="shared" si="2" ref="G26:G36">SUM(B26:F26)</f>
        <v>22177</v>
      </c>
    </row>
    <row r="27" spans="1:7" ht="20.25">
      <c r="A27" s="1309" t="s">
        <v>721</v>
      </c>
      <c r="B27" s="1287">
        <f>14235+37</f>
        <v>14272</v>
      </c>
      <c r="C27" s="1287">
        <v>1175</v>
      </c>
      <c r="D27" s="1287">
        <v>4630</v>
      </c>
      <c r="E27" s="1287">
        <v>1033</v>
      </c>
      <c r="F27" s="1301" t="s">
        <v>464</v>
      </c>
      <c r="G27" s="1310">
        <f t="shared" si="2"/>
        <v>21110</v>
      </c>
    </row>
    <row r="28" spans="1:7" ht="20.25">
      <c r="A28" s="1309" t="s">
        <v>722</v>
      </c>
      <c r="B28" s="1287">
        <v>5550</v>
      </c>
      <c r="C28" s="1287">
        <v>5046</v>
      </c>
      <c r="D28" s="1287">
        <v>2615</v>
      </c>
      <c r="E28" s="1287">
        <v>802</v>
      </c>
      <c r="F28" s="1301" t="s">
        <v>464</v>
      </c>
      <c r="G28" s="1310">
        <f t="shared" si="2"/>
        <v>14013</v>
      </c>
    </row>
    <row r="29" spans="1:7" ht="20.25">
      <c r="A29" s="1309" t="s">
        <v>723</v>
      </c>
      <c r="B29" s="1287">
        <v>5600</v>
      </c>
      <c r="C29" s="1287">
        <v>5005</v>
      </c>
      <c r="D29" s="1287">
        <v>1960</v>
      </c>
      <c r="E29" s="1287">
        <v>818</v>
      </c>
      <c r="F29" s="1301" t="s">
        <v>464</v>
      </c>
      <c r="G29" s="1310">
        <f t="shared" si="2"/>
        <v>13383</v>
      </c>
    </row>
    <row r="30" spans="1:7" ht="20.25">
      <c r="A30" s="1309" t="s">
        <v>724</v>
      </c>
      <c r="B30" s="1287">
        <v>2915</v>
      </c>
      <c r="C30" s="1287">
        <v>9700</v>
      </c>
      <c r="D30" s="1287">
        <v>2610</v>
      </c>
      <c r="E30" s="1287">
        <v>870</v>
      </c>
      <c r="F30" s="1301" t="s">
        <v>464</v>
      </c>
      <c r="G30" s="1310">
        <f t="shared" si="2"/>
        <v>16095</v>
      </c>
    </row>
    <row r="31" spans="1:7" ht="20.25">
      <c r="A31" s="1309" t="s">
        <v>725</v>
      </c>
      <c r="B31" s="1287">
        <v>3144</v>
      </c>
      <c r="C31" s="1287">
        <v>10141</v>
      </c>
      <c r="D31" s="1287">
        <v>2704</v>
      </c>
      <c r="E31" s="1287">
        <v>913</v>
      </c>
      <c r="F31" s="1301" t="s">
        <v>464</v>
      </c>
      <c r="G31" s="1310">
        <f t="shared" si="2"/>
        <v>16902</v>
      </c>
    </row>
    <row r="32" spans="1:7" ht="20.25">
      <c r="A32" s="1309" t="s">
        <v>726</v>
      </c>
      <c r="B32" s="1287">
        <v>7446</v>
      </c>
      <c r="C32" s="1287">
        <v>728</v>
      </c>
      <c r="D32" s="1287">
        <v>5180</v>
      </c>
      <c r="E32" s="1287">
        <v>1959</v>
      </c>
      <c r="F32" s="1301" t="s">
        <v>464</v>
      </c>
      <c r="G32" s="1310">
        <f t="shared" si="2"/>
        <v>15313</v>
      </c>
    </row>
    <row r="33" spans="1:7" ht="20.25">
      <c r="A33" s="1309" t="s">
        <v>727</v>
      </c>
      <c r="B33" s="1287">
        <v>5128</v>
      </c>
      <c r="C33" s="1287">
        <v>617</v>
      </c>
      <c r="D33" s="1287">
        <v>2970</v>
      </c>
      <c r="E33" s="1287">
        <v>1123</v>
      </c>
      <c r="F33" s="1301" t="s">
        <v>464</v>
      </c>
      <c r="G33" s="1310">
        <f t="shared" si="2"/>
        <v>9838</v>
      </c>
    </row>
    <row r="34" spans="1:7" ht="20.25">
      <c r="A34" s="1309" t="s">
        <v>728</v>
      </c>
      <c r="B34" s="1287">
        <v>12048</v>
      </c>
      <c r="C34" s="1287">
        <v>1219</v>
      </c>
      <c r="D34" s="1287">
        <v>6144</v>
      </c>
      <c r="E34" s="1287">
        <v>1990</v>
      </c>
      <c r="F34" s="1301" t="s">
        <v>464</v>
      </c>
      <c r="G34" s="1310">
        <f t="shared" si="2"/>
        <v>21401</v>
      </c>
    </row>
    <row r="35" spans="1:7" ht="20.25">
      <c r="A35" s="1309" t="s">
        <v>731</v>
      </c>
      <c r="B35" s="1287">
        <v>14402</v>
      </c>
      <c r="C35" s="1287">
        <v>2600</v>
      </c>
      <c r="D35" s="1287">
        <v>4726</v>
      </c>
      <c r="E35" s="1287">
        <v>1843</v>
      </c>
      <c r="F35" s="1301" t="s">
        <v>464</v>
      </c>
      <c r="G35" s="1310">
        <f t="shared" si="2"/>
        <v>23571</v>
      </c>
    </row>
    <row r="36" spans="1:7" ht="20.25">
      <c r="A36" s="1311" t="s">
        <v>424</v>
      </c>
      <c r="B36" s="1312">
        <v>10625</v>
      </c>
      <c r="C36" s="1312">
        <v>1275</v>
      </c>
      <c r="D36" s="1312">
        <v>6939</v>
      </c>
      <c r="E36" s="1312">
        <v>3558</v>
      </c>
      <c r="F36" s="1314" t="s">
        <v>464</v>
      </c>
      <c r="G36" s="1313">
        <f t="shared" si="2"/>
        <v>22397</v>
      </c>
    </row>
    <row r="37" spans="1:7" ht="20.25">
      <c r="A37" s="1311" t="s">
        <v>481</v>
      </c>
      <c r="B37" s="1312">
        <v>23115</v>
      </c>
      <c r="C37" s="1312">
        <v>706</v>
      </c>
      <c r="D37" s="1312">
        <v>4574</v>
      </c>
      <c r="E37" s="1312">
        <v>2298</v>
      </c>
      <c r="F37" s="1314" t="s">
        <v>464</v>
      </c>
      <c r="G37" s="1313">
        <f>SUM(B37:F37)</f>
        <v>30693</v>
      </c>
    </row>
    <row r="38" spans="1:7" ht="20.25">
      <c r="A38" s="1311" t="s">
        <v>1288</v>
      </c>
      <c r="B38" s="1312">
        <v>14143</v>
      </c>
      <c r="C38" s="1794">
        <v>1296</v>
      </c>
      <c r="D38" s="1312">
        <v>6129</v>
      </c>
      <c r="E38" s="1312">
        <v>2083</v>
      </c>
      <c r="F38" s="2398" t="s">
        <v>464</v>
      </c>
      <c r="G38" s="1795">
        <f>SUM(B38:F38)</f>
        <v>23651</v>
      </c>
    </row>
    <row r="39" spans="1:7" ht="20.25">
      <c r="A39" s="1311" t="s">
        <v>1517</v>
      </c>
      <c r="B39" s="1312">
        <v>5935</v>
      </c>
      <c r="C39" s="1794">
        <v>2253</v>
      </c>
      <c r="D39" s="1312">
        <v>3555</v>
      </c>
      <c r="E39" s="1312">
        <v>4087</v>
      </c>
      <c r="F39" s="1793">
        <v>768</v>
      </c>
      <c r="G39" s="1795">
        <f>SUM(B39:F39)</f>
        <v>16598</v>
      </c>
    </row>
    <row r="40" spans="1:7" ht="21" thickBot="1">
      <c r="A40" s="2449" t="s">
        <v>1649</v>
      </c>
      <c r="B40" s="1290">
        <v>13379</v>
      </c>
      <c r="C40" s="2536">
        <v>1015</v>
      </c>
      <c r="D40" s="1290">
        <v>3034</v>
      </c>
      <c r="E40" s="1290">
        <v>4620</v>
      </c>
      <c r="F40" s="2776" t="s">
        <v>464</v>
      </c>
      <c r="G40" s="2775">
        <f>SUM(B40:F40)</f>
        <v>22048</v>
      </c>
    </row>
    <row r="41" spans="1:7" ht="21" thickBot="1">
      <c r="A41" s="2774" t="s">
        <v>207</v>
      </c>
      <c r="B41" s="634">
        <f>M6-(B21+B61)</f>
        <v>14711.733</v>
      </c>
      <c r="C41" s="634">
        <f>M9-(C21+C61)</f>
        <v>1090.9719999999998</v>
      </c>
      <c r="D41" s="634">
        <f>M10-(D21+D61)</f>
        <v>3850.318</v>
      </c>
      <c r="E41" s="634">
        <f>M11-(E21)</f>
        <v>5040.473</v>
      </c>
      <c r="F41" s="678" t="s">
        <v>464</v>
      </c>
      <c r="G41" s="635">
        <f>SUM(B41:F41)</f>
        <v>24693.496</v>
      </c>
    </row>
    <row r="42" ht="21" thickBot="1"/>
    <row r="43" spans="1:7" ht="21" thickBot="1">
      <c r="A43" s="1206" t="s">
        <v>474</v>
      </c>
      <c r="B43" s="633" t="s">
        <v>730</v>
      </c>
      <c r="C43" s="634"/>
      <c r="D43" s="634"/>
      <c r="E43" s="634"/>
      <c r="F43" s="634"/>
      <c r="G43" s="1282" t="s">
        <v>732</v>
      </c>
    </row>
    <row r="44" spans="1:7" ht="20.25">
      <c r="A44" s="1010" t="s">
        <v>475</v>
      </c>
      <c r="B44" s="632" t="s">
        <v>701</v>
      </c>
      <c r="C44" s="632" t="s">
        <v>555</v>
      </c>
      <c r="D44" s="632" t="s">
        <v>702</v>
      </c>
      <c r="E44" s="632" t="s">
        <v>703</v>
      </c>
      <c r="F44" s="1315" t="s">
        <v>472</v>
      </c>
      <c r="G44" s="636" t="s">
        <v>472</v>
      </c>
    </row>
    <row r="45" spans="1:10" ht="21" thickBot="1">
      <c r="A45" s="1308"/>
      <c r="B45" s="1281" t="s">
        <v>705</v>
      </c>
      <c r="C45" s="1281" t="s">
        <v>706</v>
      </c>
      <c r="D45" s="1281" t="s">
        <v>707</v>
      </c>
      <c r="E45" s="1281" t="s">
        <v>708</v>
      </c>
      <c r="F45" s="1316" t="s">
        <v>480</v>
      </c>
      <c r="G45" s="1281" t="s">
        <v>480</v>
      </c>
      <c r="J45" s="159"/>
    </row>
    <row r="46" spans="1:7" ht="20.25">
      <c r="A46" s="1309" t="s">
        <v>720</v>
      </c>
      <c r="B46" s="1287">
        <v>37737</v>
      </c>
      <c r="C46" s="1287">
        <v>20888</v>
      </c>
      <c r="D46" s="1287">
        <v>1969</v>
      </c>
      <c r="E46" s="1301" t="s">
        <v>464</v>
      </c>
      <c r="F46" s="1301">
        <f aca="true" t="shared" si="3" ref="F46:F55">SUM(B46:E46)</f>
        <v>60594</v>
      </c>
      <c r="G46" s="1310">
        <f aca="true" t="shared" si="4" ref="G46:G58">G6+G26+F46</f>
        <v>168729</v>
      </c>
    </row>
    <row r="47" spans="1:7" ht="20.25">
      <c r="A47" s="1309" t="s">
        <v>721</v>
      </c>
      <c r="B47" s="1287">
        <v>31129</v>
      </c>
      <c r="C47" s="1287">
        <v>38942</v>
      </c>
      <c r="D47" s="1287">
        <v>1101</v>
      </c>
      <c r="E47" s="1301" t="s">
        <v>464</v>
      </c>
      <c r="F47" s="1301">
        <f t="shared" si="3"/>
        <v>71172</v>
      </c>
      <c r="G47" s="1310">
        <f t="shared" si="4"/>
        <v>204626</v>
      </c>
    </row>
    <row r="48" spans="1:7" ht="20.25">
      <c r="A48" s="1309" t="s">
        <v>722</v>
      </c>
      <c r="B48" s="1287">
        <v>5794</v>
      </c>
      <c r="C48" s="1287">
        <v>15888</v>
      </c>
      <c r="D48" s="1287" t="s">
        <v>464</v>
      </c>
      <c r="E48" s="1301" t="s">
        <v>464</v>
      </c>
      <c r="F48" s="1301">
        <f t="shared" si="3"/>
        <v>21682</v>
      </c>
      <c r="G48" s="1310">
        <f t="shared" si="4"/>
        <v>144776</v>
      </c>
    </row>
    <row r="49" spans="1:7" ht="20.25">
      <c r="A49" s="1309" t="s">
        <v>723</v>
      </c>
      <c r="B49" s="1287">
        <v>8534</v>
      </c>
      <c r="C49" s="1287">
        <v>14991</v>
      </c>
      <c r="D49" s="1287">
        <v>109</v>
      </c>
      <c r="E49" s="1301" t="s">
        <v>464</v>
      </c>
      <c r="F49" s="1301">
        <f t="shared" si="3"/>
        <v>23634</v>
      </c>
      <c r="G49" s="1310">
        <f t="shared" si="4"/>
        <v>127074</v>
      </c>
    </row>
    <row r="50" spans="1:10" ht="20.25">
      <c r="A50" s="1309" t="s">
        <v>724</v>
      </c>
      <c r="B50" s="1287">
        <v>17601</v>
      </c>
      <c r="C50" s="1287">
        <v>7784</v>
      </c>
      <c r="D50" s="1287" t="s">
        <v>464</v>
      </c>
      <c r="E50" s="1301" t="s">
        <v>464</v>
      </c>
      <c r="F50" s="1301">
        <f t="shared" si="3"/>
        <v>25385</v>
      </c>
      <c r="G50" s="1310">
        <f t="shared" si="4"/>
        <v>137610</v>
      </c>
      <c r="J50" s="159"/>
    </row>
    <row r="51" spans="1:7" ht="20.25">
      <c r="A51" s="1309" t="s">
        <v>725</v>
      </c>
      <c r="B51" s="1287">
        <v>14564</v>
      </c>
      <c r="C51" s="1287">
        <v>15699</v>
      </c>
      <c r="D51" s="1287">
        <v>792</v>
      </c>
      <c r="E51" s="1301" t="s">
        <v>464</v>
      </c>
      <c r="F51" s="1301">
        <f t="shared" si="3"/>
        <v>31055</v>
      </c>
      <c r="G51" s="1310">
        <f t="shared" si="4"/>
        <v>129972</v>
      </c>
    </row>
    <row r="52" spans="1:7" ht="20.25">
      <c r="A52" s="1309" t="s">
        <v>726</v>
      </c>
      <c r="B52" s="1287">
        <v>26197</v>
      </c>
      <c r="C52" s="1287">
        <v>14020</v>
      </c>
      <c r="D52" s="1287">
        <v>2847</v>
      </c>
      <c r="E52" s="1301" t="s">
        <v>464</v>
      </c>
      <c r="F52" s="1301">
        <f t="shared" si="3"/>
        <v>43064</v>
      </c>
      <c r="G52" s="1310">
        <f t="shared" si="4"/>
        <v>133099</v>
      </c>
    </row>
    <row r="53" spans="1:7" ht="20.25">
      <c r="A53" s="1309" t="s">
        <v>727</v>
      </c>
      <c r="B53" s="1287">
        <v>6732</v>
      </c>
      <c r="C53" s="1287">
        <v>8478</v>
      </c>
      <c r="D53" s="1287" t="s">
        <v>464</v>
      </c>
      <c r="E53" s="1301" t="s">
        <v>464</v>
      </c>
      <c r="F53" s="1301">
        <f t="shared" si="3"/>
        <v>15210</v>
      </c>
      <c r="G53" s="1310">
        <f t="shared" si="4"/>
        <v>90083</v>
      </c>
    </row>
    <row r="54" spans="1:7" ht="20.25">
      <c r="A54" s="1309" t="s">
        <v>728</v>
      </c>
      <c r="B54" s="1287">
        <v>11885</v>
      </c>
      <c r="C54" s="1287">
        <v>7823</v>
      </c>
      <c r="D54" s="1287">
        <v>2263</v>
      </c>
      <c r="E54" s="1301" t="s">
        <v>464</v>
      </c>
      <c r="F54" s="1301">
        <f t="shared" si="3"/>
        <v>21971</v>
      </c>
      <c r="G54" s="1310">
        <f t="shared" si="4"/>
        <v>146594</v>
      </c>
    </row>
    <row r="55" spans="1:7" ht="20.25">
      <c r="A55" s="1309" t="s">
        <v>731</v>
      </c>
      <c r="B55" s="1287">
        <v>8526</v>
      </c>
      <c r="C55" s="1287">
        <v>7347</v>
      </c>
      <c r="D55" s="1287" t="s">
        <v>464</v>
      </c>
      <c r="E55" s="1301" t="s">
        <v>464</v>
      </c>
      <c r="F55" s="1301">
        <f t="shared" si="3"/>
        <v>15873</v>
      </c>
      <c r="G55" s="1310">
        <f t="shared" si="4"/>
        <v>143626</v>
      </c>
    </row>
    <row r="56" spans="1:7" ht="20.25">
      <c r="A56" s="1311" t="s">
        <v>424</v>
      </c>
      <c r="B56" s="1312">
        <v>7127</v>
      </c>
      <c r="C56" s="1312">
        <v>13725</v>
      </c>
      <c r="D56" s="1312">
        <v>17</v>
      </c>
      <c r="E56" s="1314" t="s">
        <v>464</v>
      </c>
      <c r="F56" s="1314">
        <f aca="true" t="shared" si="5" ref="F56:F61">SUM(B56:E56)</f>
        <v>20869</v>
      </c>
      <c r="G56" s="1313">
        <f t="shared" si="4"/>
        <v>139593</v>
      </c>
    </row>
    <row r="57" spans="1:7" ht="20.25">
      <c r="A57" s="1311" t="s">
        <v>481</v>
      </c>
      <c r="B57" s="1312">
        <v>31022</v>
      </c>
      <c r="C57" s="1312">
        <v>3372</v>
      </c>
      <c r="D57" s="1312">
        <v>7360</v>
      </c>
      <c r="E57" s="1314" t="s">
        <v>464</v>
      </c>
      <c r="F57" s="1314">
        <f t="shared" si="5"/>
        <v>41754</v>
      </c>
      <c r="G57" s="1313">
        <f t="shared" si="4"/>
        <v>173578</v>
      </c>
    </row>
    <row r="58" spans="1:7" ht="20.25">
      <c r="A58" s="1311" t="s">
        <v>1288</v>
      </c>
      <c r="B58" s="1312">
        <v>24043.46</v>
      </c>
      <c r="C58" s="1312">
        <v>16430.049</v>
      </c>
      <c r="D58" s="1312">
        <v>1821.035</v>
      </c>
      <c r="E58" s="2398" t="s">
        <v>464</v>
      </c>
      <c r="F58" s="1314">
        <f t="shared" si="5"/>
        <v>42294.544</v>
      </c>
      <c r="G58" s="1313">
        <f t="shared" si="4"/>
        <v>165580.942</v>
      </c>
    </row>
    <row r="59" spans="1:7" ht="20.25">
      <c r="A59" s="1311" t="s">
        <v>1517</v>
      </c>
      <c r="B59" s="1312">
        <v>6821</v>
      </c>
      <c r="C59" s="1312">
        <v>11144</v>
      </c>
      <c r="D59" s="1312">
        <v>360</v>
      </c>
      <c r="E59" s="1793" t="s">
        <v>464</v>
      </c>
      <c r="F59" s="1314">
        <f t="shared" si="5"/>
        <v>18325</v>
      </c>
      <c r="G59" s="1313">
        <f>G19+G39+F59</f>
        <v>147211.875</v>
      </c>
    </row>
    <row r="60" spans="1:7" ht="21" thickBot="1">
      <c r="A60" s="2449" t="s">
        <v>1649</v>
      </c>
      <c r="B60" s="1290">
        <v>4292</v>
      </c>
      <c r="C60" s="1290">
        <v>9098</v>
      </c>
      <c r="D60" s="2535" t="s">
        <v>464</v>
      </c>
      <c r="E60" s="2535" t="s">
        <v>464</v>
      </c>
      <c r="F60" s="1306">
        <f t="shared" si="5"/>
        <v>13390</v>
      </c>
      <c r="G60" s="2589">
        <f>G20+G40+F60</f>
        <v>119965.022</v>
      </c>
    </row>
    <row r="61" spans="1:7" ht="21" thickBot="1">
      <c r="A61" s="1097" t="s">
        <v>207</v>
      </c>
      <c r="B61" s="1017">
        <v>13698</v>
      </c>
      <c r="C61" s="1017">
        <v>4058</v>
      </c>
      <c r="D61" s="1209">
        <v>1063</v>
      </c>
      <c r="E61" s="2777" t="s">
        <v>464</v>
      </c>
      <c r="F61" s="634">
        <f t="shared" si="5"/>
        <v>18819</v>
      </c>
      <c r="G61" s="635">
        <f>G21+G41+F61</f>
        <v>96831</v>
      </c>
    </row>
  </sheetData>
  <sheetProtection/>
  <printOptions/>
  <pageMargins left="1" right="1" top="1" bottom="1" header="0.5" footer="0.5"/>
  <pageSetup horizontalDpi="300" verticalDpi="300" orientation="portrait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4"/>
  <sheetViews>
    <sheetView zoomScale="60" zoomScaleNormal="60" zoomScalePageLayoutView="38" workbookViewId="0" topLeftCell="A4">
      <selection activeCell="B8" sqref="B8:D34"/>
    </sheetView>
  </sheetViews>
  <sheetFormatPr defaultColWidth="9.7109375" defaultRowHeight="12.75"/>
  <cols>
    <col min="1" max="1" width="32.421875" style="94" customWidth="1"/>
    <col min="2" max="2" width="40.8515625" style="565" customWidth="1"/>
    <col min="3" max="3" width="38.8515625" style="96" customWidth="1"/>
    <col min="4" max="4" width="34.00390625" style="96" customWidth="1"/>
    <col min="5" max="5" width="30.28125" style="95" customWidth="1"/>
    <col min="6" max="6" width="6.7109375" style="94" customWidth="1"/>
    <col min="7" max="7" width="6.8515625" style="94" customWidth="1"/>
    <col min="8" max="8" width="5.8515625" style="94" customWidth="1"/>
    <col min="9" max="9" width="7.7109375" style="94" customWidth="1"/>
    <col min="10" max="16384" width="9.7109375" style="94" customWidth="1"/>
  </cols>
  <sheetData>
    <row r="1" spans="1:5" ht="47.25" customHeight="1">
      <c r="A1" s="781" t="s">
        <v>1513</v>
      </c>
      <c r="B1" s="782"/>
      <c r="C1" s="1318"/>
      <c r="D1" s="1318"/>
      <c r="E1" s="1319"/>
    </row>
    <row r="2" spans="1:5" ht="47.25" customHeight="1">
      <c r="A2" s="781" t="s">
        <v>1511</v>
      </c>
      <c r="B2" s="782"/>
      <c r="C2" s="1318"/>
      <c r="D2" s="1318"/>
      <c r="E2" s="1319"/>
    </row>
    <row r="3" spans="1:5" ht="47.25" customHeight="1" thickBot="1">
      <c r="A3" s="1694" t="s">
        <v>1510</v>
      </c>
      <c r="B3" s="782"/>
      <c r="C3" s="1318"/>
      <c r="D3" s="1318"/>
      <c r="E3" s="1319"/>
    </row>
    <row r="4" spans="1:5" ht="47.25" customHeight="1">
      <c r="A4" s="1320"/>
      <c r="B4" s="1321" t="s">
        <v>733</v>
      </c>
      <c r="C4" s="1321" t="s">
        <v>1414</v>
      </c>
      <c r="D4" s="1322" t="s">
        <v>1415</v>
      </c>
      <c r="E4" s="1323"/>
    </row>
    <row r="5" spans="1:5" ht="47.25" customHeight="1">
      <c r="A5" s="1324" t="s">
        <v>566</v>
      </c>
      <c r="B5" s="1325" t="s">
        <v>1498</v>
      </c>
      <c r="C5" s="1325" t="s">
        <v>1495</v>
      </c>
      <c r="D5" s="1325" t="s">
        <v>1496</v>
      </c>
      <c r="E5" s="1326" t="s">
        <v>570</v>
      </c>
    </row>
    <row r="6" spans="1:5" ht="47.25" customHeight="1">
      <c r="A6" s="1324" t="s">
        <v>571</v>
      </c>
      <c r="B6" s="1327" t="s">
        <v>734</v>
      </c>
      <c r="C6" s="1327"/>
      <c r="D6" s="1327"/>
      <c r="E6" s="1326" t="s">
        <v>575</v>
      </c>
    </row>
    <row r="7" spans="1:5" ht="47.25" customHeight="1" thickBot="1">
      <c r="A7" s="1324"/>
      <c r="B7" s="1327" t="s">
        <v>1497</v>
      </c>
      <c r="C7" s="1327"/>
      <c r="D7" s="1327"/>
      <c r="E7" s="1326"/>
    </row>
    <row r="8" spans="1:5" s="85" customFormat="1" ht="47.25" customHeight="1" thickBot="1">
      <c r="A8" s="1328" t="s">
        <v>578</v>
      </c>
      <c r="B8" s="1329">
        <v>1061800</v>
      </c>
      <c r="C8" s="1330">
        <v>673300</v>
      </c>
      <c r="D8" s="1330">
        <v>388500</v>
      </c>
      <c r="E8" s="1331" t="s">
        <v>579</v>
      </c>
    </row>
    <row r="9" spans="1:5" s="85" customFormat="1" ht="47.25" customHeight="1">
      <c r="A9" s="761" t="s">
        <v>580</v>
      </c>
      <c r="B9" s="1332">
        <v>47500</v>
      </c>
      <c r="C9" s="1333">
        <v>47500</v>
      </c>
      <c r="D9" s="1333" t="s">
        <v>464</v>
      </c>
      <c r="E9" s="1334" t="s">
        <v>581</v>
      </c>
    </row>
    <row r="10" spans="1:5" ht="47.25" customHeight="1">
      <c r="A10" s="767" t="s">
        <v>582</v>
      </c>
      <c r="B10" s="1335" t="s">
        <v>464</v>
      </c>
      <c r="C10" s="1336" t="s">
        <v>464</v>
      </c>
      <c r="D10" s="1336" t="s">
        <v>464</v>
      </c>
      <c r="E10" s="1337" t="s">
        <v>583</v>
      </c>
    </row>
    <row r="11" spans="1:5" ht="47.25" customHeight="1">
      <c r="A11" s="767" t="s">
        <v>584</v>
      </c>
      <c r="B11" s="1338">
        <v>47500</v>
      </c>
      <c r="C11" s="768">
        <v>47500</v>
      </c>
      <c r="D11" s="1336" t="s">
        <v>464</v>
      </c>
      <c r="E11" s="1337" t="s">
        <v>584</v>
      </c>
    </row>
    <row r="12" spans="1:5" ht="47.25" customHeight="1">
      <c r="A12" s="767" t="s">
        <v>585</v>
      </c>
      <c r="B12" s="1335" t="s">
        <v>464</v>
      </c>
      <c r="C12" s="1336" t="s">
        <v>464</v>
      </c>
      <c r="D12" s="1336" t="s">
        <v>464</v>
      </c>
      <c r="E12" s="1337" t="s">
        <v>585</v>
      </c>
    </row>
    <row r="13" spans="1:13" ht="47.25" customHeight="1">
      <c r="A13" s="767"/>
      <c r="B13" s="1338"/>
      <c r="C13" s="768"/>
      <c r="D13" s="1336"/>
      <c r="E13" s="1337"/>
      <c r="F13" s="691"/>
      <c r="G13" s="691"/>
      <c r="H13" s="691"/>
      <c r="I13" s="691"/>
      <c r="J13" s="691"/>
      <c r="K13" s="691"/>
      <c r="L13" s="691"/>
      <c r="M13" s="691"/>
    </row>
    <row r="14" spans="1:5" ht="47.25" customHeight="1">
      <c r="A14" s="1339" t="s">
        <v>588</v>
      </c>
      <c r="B14" s="1338">
        <v>626000</v>
      </c>
      <c r="C14" s="1340">
        <v>346000</v>
      </c>
      <c r="D14" s="1340">
        <v>280000</v>
      </c>
      <c r="E14" s="1341" t="s">
        <v>589</v>
      </c>
    </row>
    <row r="15" spans="1:5" ht="47.25" customHeight="1">
      <c r="A15" s="767" t="s">
        <v>590</v>
      </c>
      <c r="B15" s="1338">
        <v>369000</v>
      </c>
      <c r="C15" s="768">
        <v>229000</v>
      </c>
      <c r="D15" s="2406">
        <v>140000</v>
      </c>
      <c r="E15" s="1337" t="s">
        <v>591</v>
      </c>
    </row>
    <row r="16" spans="1:5" s="85" customFormat="1" ht="47.25" customHeight="1">
      <c r="A16" s="767" t="s">
        <v>592</v>
      </c>
      <c r="B16" s="1338">
        <v>3000</v>
      </c>
      <c r="C16" s="768">
        <v>3000</v>
      </c>
      <c r="D16" s="1342" t="s">
        <v>464</v>
      </c>
      <c r="E16" s="1337" t="s">
        <v>593</v>
      </c>
    </row>
    <row r="17" spans="1:5" ht="47.25" customHeight="1">
      <c r="A17" s="767" t="s">
        <v>594</v>
      </c>
      <c r="B17" s="1338">
        <v>166000</v>
      </c>
      <c r="C17" s="1336">
        <v>26000</v>
      </c>
      <c r="D17" s="768">
        <v>140000</v>
      </c>
      <c r="E17" s="1337" t="s">
        <v>594</v>
      </c>
    </row>
    <row r="18" spans="1:5" ht="47.25" customHeight="1">
      <c r="A18" s="767" t="s">
        <v>599</v>
      </c>
      <c r="B18" s="1338">
        <v>88000</v>
      </c>
      <c r="C18" s="2406">
        <v>88000</v>
      </c>
      <c r="D18" s="1336" t="s">
        <v>464</v>
      </c>
      <c r="E18" s="1337" t="s">
        <v>599</v>
      </c>
    </row>
    <row r="19" spans="1:5" ht="47.25" customHeight="1">
      <c r="A19" s="767" t="s">
        <v>598</v>
      </c>
      <c r="B19" s="1335" t="s">
        <v>464</v>
      </c>
      <c r="C19" s="1336" t="s">
        <v>464</v>
      </c>
      <c r="D19" s="1336" t="s">
        <v>464</v>
      </c>
      <c r="E19" s="1337" t="s">
        <v>598</v>
      </c>
    </row>
    <row r="20" spans="1:5" ht="47.25" customHeight="1">
      <c r="A20" s="1343"/>
      <c r="B20" s="1338"/>
      <c r="C20" s="768"/>
      <c r="D20" s="1336"/>
      <c r="E20" s="1337"/>
    </row>
    <row r="21" spans="1:5" ht="47.25" customHeight="1">
      <c r="A21" s="1339" t="s">
        <v>601</v>
      </c>
      <c r="B21" s="1335">
        <v>202200</v>
      </c>
      <c r="C21" s="1342">
        <v>136000</v>
      </c>
      <c r="D21" s="1342">
        <v>66200</v>
      </c>
      <c r="E21" s="1341" t="s">
        <v>602</v>
      </c>
    </row>
    <row r="22" spans="1:5" ht="47.25" customHeight="1">
      <c r="A22" s="767" t="s">
        <v>603</v>
      </c>
      <c r="B22" s="1335">
        <v>43000</v>
      </c>
      <c r="C22" s="1336">
        <v>2000</v>
      </c>
      <c r="D22" s="1336">
        <v>41000</v>
      </c>
      <c r="E22" s="1337" t="s">
        <v>604</v>
      </c>
    </row>
    <row r="23" spans="1:5" ht="47.25" customHeight="1">
      <c r="A23" s="767" t="s">
        <v>605</v>
      </c>
      <c r="B23" s="1338">
        <v>129100</v>
      </c>
      <c r="C23" s="1336">
        <v>112100</v>
      </c>
      <c r="D23" s="1336">
        <v>17000</v>
      </c>
      <c r="E23" s="1337" t="s">
        <v>606</v>
      </c>
    </row>
    <row r="24" spans="1:5" ht="47.25" customHeight="1">
      <c r="A24" s="767" t="s">
        <v>607</v>
      </c>
      <c r="B24" s="1335">
        <v>0</v>
      </c>
      <c r="C24" s="1336" t="s">
        <v>464</v>
      </c>
      <c r="D24" s="1336" t="s">
        <v>464</v>
      </c>
      <c r="E24" s="1337" t="s">
        <v>607</v>
      </c>
    </row>
    <row r="25" spans="1:5" ht="47.25" customHeight="1">
      <c r="A25" s="767" t="s">
        <v>608</v>
      </c>
      <c r="B25" s="1338">
        <v>30100</v>
      </c>
      <c r="C25" s="2406">
        <v>21900</v>
      </c>
      <c r="D25" s="1902">
        <v>8200</v>
      </c>
      <c r="E25" s="1337" t="s">
        <v>608</v>
      </c>
    </row>
    <row r="26" spans="1:5" s="85" customFormat="1" ht="47.25" customHeight="1">
      <c r="A26" s="1344"/>
      <c r="B26" s="1338"/>
      <c r="C26" s="1340"/>
      <c r="D26" s="1340"/>
      <c r="E26" s="1345"/>
    </row>
    <row r="27" spans="1:5" ht="42.75" customHeight="1">
      <c r="A27" s="1344" t="s">
        <v>1286</v>
      </c>
      <c r="B27" s="1338">
        <v>128700</v>
      </c>
      <c r="C27" s="1342">
        <v>119700</v>
      </c>
      <c r="D27" s="1342">
        <v>9000</v>
      </c>
      <c r="E27" s="1341" t="s">
        <v>1286</v>
      </c>
    </row>
    <row r="28" spans="1:5" ht="42.75" customHeight="1">
      <c r="A28" s="1343" t="s">
        <v>586</v>
      </c>
      <c r="B28" s="1338">
        <v>110200</v>
      </c>
      <c r="C28" s="1902">
        <v>104700</v>
      </c>
      <c r="D28" s="1902">
        <v>5500</v>
      </c>
      <c r="E28" s="1337" t="s">
        <v>586</v>
      </c>
    </row>
    <row r="29" spans="1:5" ht="42.75" customHeight="1">
      <c r="A29" s="1343" t="s">
        <v>587</v>
      </c>
      <c r="B29" s="1338">
        <v>18500</v>
      </c>
      <c r="C29" s="1336">
        <v>15000</v>
      </c>
      <c r="D29" s="1336">
        <v>3500</v>
      </c>
      <c r="E29" s="1337" t="s">
        <v>587</v>
      </c>
    </row>
    <row r="30" spans="1:5" ht="42.75" customHeight="1">
      <c r="A30" s="1343"/>
      <c r="B30" s="1338"/>
      <c r="C30" s="1336"/>
      <c r="D30" s="1336"/>
      <c r="E30" s="1337"/>
    </row>
    <row r="31" spans="1:5" ht="42.75" customHeight="1">
      <c r="A31" s="1344" t="s">
        <v>1287</v>
      </c>
      <c r="B31" s="1339">
        <v>57400</v>
      </c>
      <c r="C31" s="1346">
        <v>24100</v>
      </c>
      <c r="D31" s="1342">
        <v>33300</v>
      </c>
      <c r="E31" s="1341" t="s">
        <v>1287</v>
      </c>
    </row>
    <row r="32" spans="1:5" ht="42.75" customHeight="1">
      <c r="A32" s="1343" t="s">
        <v>1273</v>
      </c>
      <c r="B32" s="1339">
        <v>35400</v>
      </c>
      <c r="C32" s="764">
        <v>2100</v>
      </c>
      <c r="D32" s="1336">
        <v>33300</v>
      </c>
      <c r="E32" s="1337" t="s">
        <v>1273</v>
      </c>
    </row>
    <row r="33" spans="1:5" ht="42.75" customHeight="1">
      <c r="A33" s="1343" t="s">
        <v>596</v>
      </c>
      <c r="B33" s="1335" t="s">
        <v>464</v>
      </c>
      <c r="C33" s="1336" t="s">
        <v>464</v>
      </c>
      <c r="D33" s="1336" t="s">
        <v>464</v>
      </c>
      <c r="E33" s="1337" t="s">
        <v>596</v>
      </c>
    </row>
    <row r="34" spans="1:5" ht="42.75" customHeight="1" thickBot="1">
      <c r="A34" s="1347" t="s">
        <v>595</v>
      </c>
      <c r="B34" s="1348">
        <v>22000</v>
      </c>
      <c r="C34" s="765">
        <v>22000</v>
      </c>
      <c r="D34" s="766" t="s">
        <v>464</v>
      </c>
      <c r="E34" s="1349" t="s">
        <v>595</v>
      </c>
    </row>
  </sheetData>
  <sheetProtection/>
  <printOptions/>
  <pageMargins left="1" right="1" top="1" bottom="1" header="0.5" footer="0.5"/>
  <pageSetup horizontalDpi="300" verticalDpi="300" orientation="portrait" paperSize="9" scale="45" r:id="rId1"/>
  <headerFooter alignWithMargins="0">
    <oddHeader>&amp;C&amp;"Times New Roman,Normal"&amp;26 71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75"/>
  <sheetViews>
    <sheetView zoomScale="55" zoomScaleNormal="55" zoomScalePageLayoutView="0" workbookViewId="0" topLeftCell="A28">
      <selection activeCell="A1" sqref="A1:IV16384"/>
    </sheetView>
  </sheetViews>
  <sheetFormatPr defaultColWidth="9.7109375" defaultRowHeight="12.75"/>
  <cols>
    <col min="1" max="1" width="29.8515625" style="1728" customWidth="1"/>
    <col min="2" max="2" width="14.8515625" style="11" customWidth="1"/>
    <col min="3" max="3" width="18.421875" style="11" customWidth="1"/>
    <col min="4" max="4" width="19.7109375" style="11" customWidth="1"/>
    <col min="5" max="5" width="13.7109375" style="11" customWidth="1"/>
    <col min="6" max="6" width="12.140625" style="11" customWidth="1"/>
    <col min="7" max="7" width="19.00390625" style="11" customWidth="1"/>
    <col min="8" max="8" width="13.57421875" style="11" customWidth="1"/>
    <col min="9" max="9" width="18.00390625" style="11" customWidth="1"/>
    <col min="10" max="10" width="18.8515625" style="11" customWidth="1"/>
    <col min="11" max="11" width="13.00390625" style="11" customWidth="1"/>
    <col min="12" max="12" width="14.00390625" style="11" customWidth="1"/>
    <col min="13" max="13" width="19.421875" style="11" customWidth="1"/>
    <col min="14" max="14" width="23.8515625" style="587" customWidth="1"/>
    <col min="15" max="16384" width="9.7109375" style="11" customWidth="1"/>
  </cols>
  <sheetData>
    <row r="1" spans="1:14" ht="23.25" customHeight="1">
      <c r="A1" s="565" t="s">
        <v>736</v>
      </c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2"/>
    </row>
    <row r="2" spans="1:14" ht="23.25" customHeight="1">
      <c r="A2" s="565" t="s">
        <v>737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2"/>
    </row>
    <row r="3" spans="2:14" ht="23.25" customHeight="1" thickBot="1">
      <c r="B3" s="1351"/>
      <c r="C3" s="1351"/>
      <c r="D3" s="1351"/>
      <c r="E3" s="1351"/>
      <c r="F3" s="1351"/>
      <c r="G3" s="1351"/>
      <c r="H3" s="1351"/>
      <c r="I3" s="1351"/>
      <c r="J3" s="1351"/>
      <c r="K3" s="1351"/>
      <c r="L3" s="1351"/>
      <c r="M3" s="1351"/>
      <c r="N3" s="1352"/>
    </row>
    <row r="4" spans="1:14" ht="27.75" customHeight="1" thickBot="1">
      <c r="A4" s="1729"/>
      <c r="B4" s="2881" t="s">
        <v>738</v>
      </c>
      <c r="C4" s="2884"/>
      <c r="D4" s="2884"/>
      <c r="E4" s="2884"/>
      <c r="F4" s="2884"/>
      <c r="G4" s="2885"/>
      <c r="H4" s="2881" t="s">
        <v>739</v>
      </c>
      <c r="I4" s="2884"/>
      <c r="J4" s="2884"/>
      <c r="K4" s="2884"/>
      <c r="L4" s="2884"/>
      <c r="M4" s="2885"/>
      <c r="N4" s="1353"/>
    </row>
    <row r="5" spans="1:14" ht="27.75" customHeight="1" thickBot="1">
      <c r="A5" s="1730" t="s">
        <v>566</v>
      </c>
      <c r="B5" s="1766" t="s">
        <v>740</v>
      </c>
      <c r="C5" s="1766"/>
      <c r="D5" s="1767"/>
      <c r="E5" s="1768" t="s">
        <v>741</v>
      </c>
      <c r="F5" s="1766"/>
      <c r="G5" s="1767"/>
      <c r="H5" s="1768" t="s">
        <v>1274</v>
      </c>
      <c r="I5" s="1766"/>
      <c r="J5" s="1767"/>
      <c r="K5" s="1768" t="s">
        <v>741</v>
      </c>
      <c r="L5" s="1766"/>
      <c r="M5" s="1769"/>
      <c r="N5" s="1354" t="s">
        <v>570</v>
      </c>
    </row>
    <row r="6" spans="1:14" ht="27.75" customHeight="1">
      <c r="A6" s="1730" t="s">
        <v>571</v>
      </c>
      <c r="B6" s="1770" t="s">
        <v>567</v>
      </c>
      <c r="C6" s="1771" t="s">
        <v>568</v>
      </c>
      <c r="D6" s="1771" t="s">
        <v>569</v>
      </c>
      <c r="E6" s="1771" t="s">
        <v>567</v>
      </c>
      <c r="F6" s="1771" t="s">
        <v>568</v>
      </c>
      <c r="G6" s="1771" t="s">
        <v>569</v>
      </c>
      <c r="H6" s="1771" t="s">
        <v>567</v>
      </c>
      <c r="I6" s="1771" t="s">
        <v>568</v>
      </c>
      <c r="J6" s="1771" t="s">
        <v>569</v>
      </c>
      <c r="K6" s="1771" t="s">
        <v>567</v>
      </c>
      <c r="L6" s="1771" t="s">
        <v>568</v>
      </c>
      <c r="M6" s="1771" t="s">
        <v>569</v>
      </c>
      <c r="N6" s="1354" t="s">
        <v>575</v>
      </c>
    </row>
    <row r="7" spans="1:14" ht="27.75" customHeight="1">
      <c r="A7" s="1730"/>
      <c r="B7" s="1772" t="s">
        <v>572</v>
      </c>
      <c r="C7" s="1773" t="s">
        <v>573</v>
      </c>
      <c r="D7" s="1773" t="s">
        <v>574</v>
      </c>
      <c r="E7" s="1773" t="s">
        <v>572</v>
      </c>
      <c r="F7" s="1773" t="s">
        <v>573</v>
      </c>
      <c r="G7" s="1773" t="s">
        <v>574</v>
      </c>
      <c r="H7" s="1773" t="s">
        <v>572</v>
      </c>
      <c r="I7" s="1773" t="s">
        <v>573</v>
      </c>
      <c r="J7" s="1773" t="s">
        <v>574</v>
      </c>
      <c r="K7" s="1773" t="s">
        <v>572</v>
      </c>
      <c r="L7" s="1773" t="s">
        <v>573</v>
      </c>
      <c r="M7" s="1773" t="s">
        <v>574</v>
      </c>
      <c r="N7" s="1354"/>
    </row>
    <row r="8" spans="1:14" ht="27.75" customHeight="1" thickBot="1">
      <c r="A8" s="1731"/>
      <c r="B8" s="1774" t="s">
        <v>1499</v>
      </c>
      <c r="C8" s="1775" t="s">
        <v>1267</v>
      </c>
      <c r="D8" s="1775" t="s">
        <v>577</v>
      </c>
      <c r="E8" s="1775" t="s">
        <v>1499</v>
      </c>
      <c r="F8" s="1775" t="s">
        <v>1267</v>
      </c>
      <c r="G8" s="1775" t="s">
        <v>577</v>
      </c>
      <c r="H8" s="1775" t="s">
        <v>1499</v>
      </c>
      <c r="I8" s="1775" t="s">
        <v>1267</v>
      </c>
      <c r="J8" s="1775" t="s">
        <v>577</v>
      </c>
      <c r="K8" s="1775" t="s">
        <v>1499</v>
      </c>
      <c r="L8" s="1775" t="s">
        <v>1267</v>
      </c>
      <c r="M8" s="1775" t="s">
        <v>577</v>
      </c>
      <c r="N8" s="1357"/>
    </row>
    <row r="9" spans="1:14" s="446" customFormat="1" ht="27.75" customHeight="1" thickBot="1">
      <c r="A9" s="1732" t="s">
        <v>578</v>
      </c>
      <c r="B9" s="1695">
        <f>SUM(B10+B15+B22+B28+B32)</f>
        <v>214450</v>
      </c>
      <c r="C9" s="1696">
        <f>(D9*1000)/B9*1000</f>
        <v>8561.436232221962</v>
      </c>
      <c r="D9" s="1697">
        <f>SUM(D10+D15+D22+D28+D32)</f>
        <v>1836</v>
      </c>
      <c r="E9" s="1695">
        <f>SUM(E22+E32)</f>
        <v>11300</v>
      </c>
      <c r="F9" s="1696">
        <f>(G9*1000)/E9*1000</f>
        <v>6106.194690265487</v>
      </c>
      <c r="G9" s="1697">
        <f>SUM(G22+G32)</f>
        <v>69</v>
      </c>
      <c r="H9" s="1695">
        <f>SUM(H15+H28+H32)</f>
        <v>16000</v>
      </c>
      <c r="I9" s="1696">
        <f>(J9*1000)/H9*1000</f>
        <v>5250</v>
      </c>
      <c r="J9" s="1698">
        <f>SUM(J15+J28+J32)</f>
        <v>84</v>
      </c>
      <c r="K9" s="1695">
        <f>SUM(K15+K28+K22+K32)</f>
        <v>30500</v>
      </c>
      <c r="L9" s="1696">
        <f>(M9*1000)/K9*1000</f>
        <v>2213.1147540983607</v>
      </c>
      <c r="M9" s="2778">
        <f>SUM(M15+M28+M22+M32)</f>
        <v>67.5</v>
      </c>
      <c r="N9" s="1358" t="s">
        <v>579</v>
      </c>
    </row>
    <row r="10" spans="1:14" s="446" customFormat="1" ht="27.75" customHeight="1">
      <c r="A10" s="1733" t="s">
        <v>580</v>
      </c>
      <c r="B10" s="1699">
        <f>SUM(B11:B13)</f>
        <v>11000</v>
      </c>
      <c r="C10" s="1700">
        <f>(D10*1000)/B10*1000</f>
        <v>8363.636363636364</v>
      </c>
      <c r="D10" s="1701">
        <f>SUM(D11:D13)</f>
        <v>92</v>
      </c>
      <c r="E10" s="1702" t="s">
        <v>464</v>
      </c>
      <c r="F10" s="1703" t="s">
        <v>464</v>
      </c>
      <c r="G10" s="1703" t="s">
        <v>464</v>
      </c>
      <c r="H10" s="1885" t="s">
        <v>464</v>
      </c>
      <c r="I10" s="1883" t="s">
        <v>464</v>
      </c>
      <c r="J10" s="1884" t="s">
        <v>464</v>
      </c>
      <c r="K10" s="1702" t="s">
        <v>464</v>
      </c>
      <c r="L10" s="1703" t="s">
        <v>464</v>
      </c>
      <c r="M10" s="1705" t="s">
        <v>464</v>
      </c>
      <c r="N10" s="1360" t="s">
        <v>581</v>
      </c>
    </row>
    <row r="11" spans="1:14" ht="27.75" customHeight="1">
      <c r="A11" s="1734" t="s">
        <v>582</v>
      </c>
      <c r="B11" s="1706" t="s">
        <v>464</v>
      </c>
      <c r="C11" s="1707" t="s">
        <v>464</v>
      </c>
      <c r="D11" s="1707" t="s">
        <v>464</v>
      </c>
      <c r="E11" s="1706" t="s">
        <v>464</v>
      </c>
      <c r="F11" s="1707" t="s">
        <v>464</v>
      </c>
      <c r="G11" s="1707" t="s">
        <v>464</v>
      </c>
      <c r="H11" s="1706" t="s">
        <v>464</v>
      </c>
      <c r="I11" s="1707" t="s">
        <v>464</v>
      </c>
      <c r="J11" s="1707" t="s">
        <v>464</v>
      </c>
      <c r="K11" s="1706" t="s">
        <v>464</v>
      </c>
      <c r="L11" s="1707" t="s">
        <v>464</v>
      </c>
      <c r="M11" s="1708" t="s">
        <v>464</v>
      </c>
      <c r="N11" s="1361" t="s">
        <v>583</v>
      </c>
    </row>
    <row r="12" spans="1:14" ht="27.75" customHeight="1">
      <c r="A12" s="1734" t="s">
        <v>584</v>
      </c>
      <c r="B12" s="1709">
        <v>11000</v>
      </c>
      <c r="C12" s="1707">
        <f>(D12*1000)/B12*1000</f>
        <v>8363.636363636364</v>
      </c>
      <c r="D12" s="1710">
        <v>92</v>
      </c>
      <c r="E12" s="1706" t="s">
        <v>464</v>
      </c>
      <c r="F12" s="1707" t="s">
        <v>464</v>
      </c>
      <c r="G12" s="1707" t="s">
        <v>464</v>
      </c>
      <c r="H12" s="1706" t="s">
        <v>464</v>
      </c>
      <c r="I12" s="1707" t="s">
        <v>464</v>
      </c>
      <c r="J12" s="1707" t="s">
        <v>464</v>
      </c>
      <c r="K12" s="1706" t="s">
        <v>464</v>
      </c>
      <c r="L12" s="1707" t="s">
        <v>464</v>
      </c>
      <c r="M12" s="1708" t="s">
        <v>464</v>
      </c>
      <c r="N12" s="1361" t="s">
        <v>584</v>
      </c>
    </row>
    <row r="13" spans="1:14" ht="27.75" customHeight="1">
      <c r="A13" s="1734" t="s">
        <v>585</v>
      </c>
      <c r="B13" s="1706" t="s">
        <v>464</v>
      </c>
      <c r="C13" s="1707" t="s">
        <v>464</v>
      </c>
      <c r="D13" s="1707" t="s">
        <v>464</v>
      </c>
      <c r="E13" s="1706" t="s">
        <v>464</v>
      </c>
      <c r="F13" s="1707" t="s">
        <v>464</v>
      </c>
      <c r="G13" s="1707" t="s">
        <v>464</v>
      </c>
      <c r="H13" s="1706" t="s">
        <v>464</v>
      </c>
      <c r="I13" s="1707" t="s">
        <v>464</v>
      </c>
      <c r="J13" s="1707" t="s">
        <v>464</v>
      </c>
      <c r="K13" s="1706" t="s">
        <v>464</v>
      </c>
      <c r="L13" s="1707" t="s">
        <v>464</v>
      </c>
      <c r="M13" s="1708" t="s">
        <v>464</v>
      </c>
      <c r="N13" s="1361" t="s">
        <v>585</v>
      </c>
    </row>
    <row r="14" spans="1:14" ht="27.75" customHeight="1">
      <c r="A14" s="1734"/>
      <c r="B14" s="1712"/>
      <c r="C14" s="1707"/>
      <c r="D14" s="1708"/>
      <c r="E14" s="1712"/>
      <c r="F14" s="1707"/>
      <c r="G14" s="1708"/>
      <c r="H14" s="1712"/>
      <c r="I14" s="1707"/>
      <c r="J14" s="1708"/>
      <c r="K14" s="1712"/>
      <c r="L14" s="1707"/>
      <c r="M14" s="1708"/>
      <c r="N14" s="1361"/>
    </row>
    <row r="15" spans="1:14" ht="27.75" customHeight="1">
      <c r="A15" s="1735" t="s">
        <v>588</v>
      </c>
      <c r="B15" s="1713">
        <f>SUM(B16:B20)</f>
        <v>111000</v>
      </c>
      <c r="C15" s="1704">
        <f>(D15*1000)/B15*1000</f>
        <v>9099.0990990991</v>
      </c>
      <c r="D15" s="1714">
        <f>SUM(D16:D20)</f>
        <v>1010</v>
      </c>
      <c r="E15" s="1882" t="s">
        <v>464</v>
      </c>
      <c r="F15" s="1707" t="s">
        <v>464</v>
      </c>
      <c r="G15" s="1707" t="s">
        <v>464</v>
      </c>
      <c r="H15" s="1886">
        <f>SUM(H16:H20)</f>
        <v>7000</v>
      </c>
      <c r="I15" s="1704">
        <f>(J15*1000)/H15*1000</f>
        <v>5285.714285714285</v>
      </c>
      <c r="J15" s="1704">
        <f>SUM(J16:J20)</f>
        <v>37</v>
      </c>
      <c r="K15" s="1713">
        <f>SUM(K16:K20)</f>
        <v>23000</v>
      </c>
      <c r="L15" s="1704">
        <f>(M15*1000)/K15*1000</f>
        <v>2130.434782608696</v>
      </c>
      <c r="M15" s="1714">
        <f>SUM(M16:M20)</f>
        <v>49</v>
      </c>
      <c r="N15" s="555" t="s">
        <v>589</v>
      </c>
    </row>
    <row r="16" spans="1:14" ht="27.75" customHeight="1">
      <c r="A16" s="1734" t="s">
        <v>590</v>
      </c>
      <c r="B16" s="1712">
        <v>80000</v>
      </c>
      <c r="C16" s="1707">
        <f>(D16*1000)/B16*1000</f>
        <v>9250</v>
      </c>
      <c r="D16" s="1708">
        <v>740</v>
      </c>
      <c r="E16" s="1706" t="s">
        <v>464</v>
      </c>
      <c r="F16" s="1707" t="s">
        <v>464</v>
      </c>
      <c r="G16" s="1707" t="s">
        <v>464</v>
      </c>
      <c r="H16" s="1706" t="s">
        <v>464</v>
      </c>
      <c r="I16" s="1707" t="s">
        <v>464</v>
      </c>
      <c r="J16" s="1707" t="s">
        <v>464</v>
      </c>
      <c r="K16" s="1712">
        <v>23000</v>
      </c>
      <c r="L16" s="1707">
        <f>(M16*1000)/K16*1000</f>
        <v>2130.434782608696</v>
      </c>
      <c r="M16" s="1708">
        <v>49</v>
      </c>
      <c r="N16" s="1361" t="s">
        <v>591</v>
      </c>
    </row>
    <row r="17" spans="1:14" s="446" customFormat="1" ht="27.75" customHeight="1">
      <c r="A17" s="1734" t="s">
        <v>592</v>
      </c>
      <c r="B17" s="1706" t="s">
        <v>464</v>
      </c>
      <c r="C17" s="1707" t="s">
        <v>464</v>
      </c>
      <c r="D17" s="1707" t="s">
        <v>464</v>
      </c>
      <c r="E17" s="1706" t="s">
        <v>464</v>
      </c>
      <c r="F17" s="1707" t="s">
        <v>464</v>
      </c>
      <c r="G17" s="1707" t="s">
        <v>464</v>
      </c>
      <c r="H17" s="1706" t="s">
        <v>464</v>
      </c>
      <c r="I17" s="1707" t="s">
        <v>464</v>
      </c>
      <c r="J17" s="1707" t="s">
        <v>464</v>
      </c>
      <c r="K17" s="1706" t="s">
        <v>464</v>
      </c>
      <c r="L17" s="1707" t="s">
        <v>464</v>
      </c>
      <c r="M17" s="1708" t="s">
        <v>464</v>
      </c>
      <c r="N17" s="1361" t="s">
        <v>593</v>
      </c>
    </row>
    <row r="18" spans="1:14" ht="27.75" customHeight="1">
      <c r="A18" s="1734" t="s">
        <v>594</v>
      </c>
      <c r="B18" s="1706">
        <v>9000</v>
      </c>
      <c r="C18" s="1707">
        <f>(D18*1000)/B18*1000</f>
        <v>8888.888888888889</v>
      </c>
      <c r="D18" s="1707">
        <v>80</v>
      </c>
      <c r="E18" s="1712"/>
      <c r="F18" s="1707" t="s">
        <v>464</v>
      </c>
      <c r="G18" s="1707" t="s">
        <v>464</v>
      </c>
      <c r="H18" s="1706" t="s">
        <v>464</v>
      </c>
      <c r="I18" s="1707" t="s">
        <v>464</v>
      </c>
      <c r="J18" s="1707" t="s">
        <v>464</v>
      </c>
      <c r="K18" s="1706" t="s">
        <v>464</v>
      </c>
      <c r="L18" s="1707" t="s">
        <v>464</v>
      </c>
      <c r="M18" s="1708" t="s">
        <v>464</v>
      </c>
      <c r="N18" s="1361" t="s">
        <v>594</v>
      </c>
    </row>
    <row r="19" spans="1:14" ht="27.75" customHeight="1">
      <c r="A19" s="1734" t="s">
        <v>599</v>
      </c>
      <c r="B19" s="1712">
        <v>22000</v>
      </c>
      <c r="C19" s="1707">
        <f>(D19*1000)/B19*1000</f>
        <v>8636.363636363636</v>
      </c>
      <c r="D19" s="1708">
        <v>190</v>
      </c>
      <c r="E19" s="1706" t="s">
        <v>464</v>
      </c>
      <c r="F19" s="1707" t="s">
        <v>464</v>
      </c>
      <c r="G19" s="1707" t="s">
        <v>464</v>
      </c>
      <c r="H19" s="1706">
        <v>7000</v>
      </c>
      <c r="I19" s="1707">
        <f>(J19*1000)/H19*1000</f>
        <v>5285.714285714285</v>
      </c>
      <c r="J19" s="1707">
        <v>37</v>
      </c>
      <c r="K19" s="1706" t="s">
        <v>464</v>
      </c>
      <c r="L19" s="1707" t="s">
        <v>464</v>
      </c>
      <c r="M19" s="1708" t="s">
        <v>464</v>
      </c>
      <c r="N19" s="1361" t="s">
        <v>599</v>
      </c>
    </row>
    <row r="20" spans="1:14" ht="27.75" customHeight="1">
      <c r="A20" s="1734" t="s">
        <v>598</v>
      </c>
      <c r="B20" s="1706" t="s">
        <v>464</v>
      </c>
      <c r="C20" s="1707" t="s">
        <v>464</v>
      </c>
      <c r="D20" s="1707" t="s">
        <v>464</v>
      </c>
      <c r="E20" s="1706" t="s">
        <v>464</v>
      </c>
      <c r="F20" s="1707" t="s">
        <v>464</v>
      </c>
      <c r="G20" s="1707" t="s">
        <v>464</v>
      </c>
      <c r="H20" s="1706" t="s">
        <v>464</v>
      </c>
      <c r="I20" s="1707" t="s">
        <v>464</v>
      </c>
      <c r="J20" s="1707" t="s">
        <v>464</v>
      </c>
      <c r="K20" s="1706" t="s">
        <v>464</v>
      </c>
      <c r="L20" s="1707" t="s">
        <v>464</v>
      </c>
      <c r="M20" s="1708" t="s">
        <v>464</v>
      </c>
      <c r="N20" s="1361" t="s">
        <v>598</v>
      </c>
    </row>
    <row r="21" spans="1:14" ht="27.75" customHeight="1">
      <c r="A21" s="1736"/>
      <c r="B21" s="1715"/>
      <c r="C21" s="1716"/>
      <c r="D21" s="1717"/>
      <c r="E21" s="1715"/>
      <c r="F21" s="1716"/>
      <c r="G21" s="1717"/>
      <c r="H21" s="1715"/>
      <c r="I21" s="1716"/>
      <c r="J21" s="1717"/>
      <c r="K21" s="1715"/>
      <c r="L21" s="1716"/>
      <c r="M21" s="1717"/>
      <c r="N21" s="1361"/>
    </row>
    <row r="22" spans="1:14" ht="27.75" customHeight="1">
      <c r="A22" s="1735" t="s">
        <v>601</v>
      </c>
      <c r="B22" s="1713">
        <f>SUM(B23:B26)</f>
        <v>45000</v>
      </c>
      <c r="C22" s="1704">
        <f>(D22*1000)/B22*1000</f>
        <v>8266.666666666668</v>
      </c>
      <c r="D22" s="1714">
        <f>SUM(D23:D26)</f>
        <v>372</v>
      </c>
      <c r="E22" s="1713">
        <f>SUM(E23:E26)</f>
        <v>9000</v>
      </c>
      <c r="F22" s="1704">
        <f>(G22*1000)/E22*1000</f>
        <v>6333.333333333333</v>
      </c>
      <c r="G22" s="1714">
        <f>SUM(G23:G26)</f>
        <v>57</v>
      </c>
      <c r="H22" s="1706" t="s">
        <v>464</v>
      </c>
      <c r="I22" s="1707" t="s">
        <v>464</v>
      </c>
      <c r="J22" s="1707" t="s">
        <v>464</v>
      </c>
      <c r="K22" s="1886">
        <f>SUM(K23:K26)</f>
        <v>5000</v>
      </c>
      <c r="L22" s="1704">
        <f>(M22*1000)/K22*1000</f>
        <v>2600</v>
      </c>
      <c r="M22" s="1714">
        <f>SUM(M23:M26)</f>
        <v>13</v>
      </c>
      <c r="N22" s="555" t="s">
        <v>602</v>
      </c>
    </row>
    <row r="23" spans="1:14" ht="27.75" customHeight="1">
      <c r="A23" s="1734" t="s">
        <v>603</v>
      </c>
      <c r="B23" s="1706" t="s">
        <v>464</v>
      </c>
      <c r="C23" s="1707" t="s">
        <v>464</v>
      </c>
      <c r="D23" s="1707" t="s">
        <v>464</v>
      </c>
      <c r="E23" s="1706">
        <v>7000</v>
      </c>
      <c r="F23" s="1707">
        <f>(G23*1000)/E23*1000</f>
        <v>6571.428571428572</v>
      </c>
      <c r="G23" s="1707">
        <v>46</v>
      </c>
      <c r="H23" s="1706" t="s">
        <v>464</v>
      </c>
      <c r="I23" s="1707" t="s">
        <v>464</v>
      </c>
      <c r="J23" s="1707" t="s">
        <v>464</v>
      </c>
      <c r="K23" s="1706">
        <v>3000</v>
      </c>
      <c r="L23" s="1707">
        <f>(M23*1000)/K23*1000</f>
        <v>2666.6666666666665</v>
      </c>
      <c r="M23" s="1708">
        <v>8</v>
      </c>
      <c r="N23" s="1361" t="s">
        <v>604</v>
      </c>
    </row>
    <row r="24" spans="1:14" ht="27.75" customHeight="1">
      <c r="A24" s="1734" t="s">
        <v>605</v>
      </c>
      <c r="B24" s="1712">
        <v>37000</v>
      </c>
      <c r="C24" s="1707">
        <f>(D24*1000)/B24*1000</f>
        <v>8297.297297297297</v>
      </c>
      <c r="D24" s="1708">
        <v>307</v>
      </c>
      <c r="E24" s="1706">
        <v>2000</v>
      </c>
      <c r="F24" s="1707">
        <f>(G24*1000)/E24*1000</f>
        <v>5500</v>
      </c>
      <c r="G24" s="1707">
        <v>11</v>
      </c>
      <c r="H24" s="1706" t="s">
        <v>464</v>
      </c>
      <c r="I24" s="1707" t="s">
        <v>464</v>
      </c>
      <c r="J24" s="1707" t="s">
        <v>464</v>
      </c>
      <c r="K24" s="1706">
        <v>2000</v>
      </c>
      <c r="L24" s="1707">
        <f>(M24*1000)/K24*1000</f>
        <v>2500</v>
      </c>
      <c r="M24" s="1708">
        <v>5</v>
      </c>
      <c r="N24" s="1361" t="s">
        <v>606</v>
      </c>
    </row>
    <row r="25" spans="1:14" ht="27.75" customHeight="1">
      <c r="A25" s="1734" t="s">
        <v>607</v>
      </c>
      <c r="B25" s="1706" t="s">
        <v>464</v>
      </c>
      <c r="C25" s="1707" t="s">
        <v>464</v>
      </c>
      <c r="D25" s="1707" t="s">
        <v>464</v>
      </c>
      <c r="E25" s="1706" t="s">
        <v>464</v>
      </c>
      <c r="F25" s="1707" t="s">
        <v>464</v>
      </c>
      <c r="G25" s="1707" t="s">
        <v>464</v>
      </c>
      <c r="H25" s="1706" t="s">
        <v>464</v>
      </c>
      <c r="I25" s="1707" t="s">
        <v>464</v>
      </c>
      <c r="J25" s="1707" t="s">
        <v>464</v>
      </c>
      <c r="K25" s="1706" t="s">
        <v>464</v>
      </c>
      <c r="L25" s="1707" t="s">
        <v>464</v>
      </c>
      <c r="M25" s="1708" t="s">
        <v>464</v>
      </c>
      <c r="N25" s="1361" t="s">
        <v>607</v>
      </c>
    </row>
    <row r="26" spans="1:14" ht="27.75" customHeight="1">
      <c r="A26" s="1734" t="s">
        <v>608</v>
      </c>
      <c r="B26" s="1706">
        <v>8000</v>
      </c>
      <c r="C26" s="1707">
        <f>(D26*1000)/B26*1000</f>
        <v>8125</v>
      </c>
      <c r="D26" s="1707">
        <v>65</v>
      </c>
      <c r="E26" s="1706" t="s">
        <v>464</v>
      </c>
      <c r="F26" s="1707" t="s">
        <v>464</v>
      </c>
      <c r="G26" s="1707" t="s">
        <v>464</v>
      </c>
      <c r="H26" s="1706" t="s">
        <v>464</v>
      </c>
      <c r="I26" s="1707" t="s">
        <v>464</v>
      </c>
      <c r="J26" s="1707" t="s">
        <v>464</v>
      </c>
      <c r="K26" s="1706" t="s">
        <v>464</v>
      </c>
      <c r="L26" s="1707" t="s">
        <v>464</v>
      </c>
      <c r="M26" s="1708" t="s">
        <v>464</v>
      </c>
      <c r="N26" s="1361" t="s">
        <v>608</v>
      </c>
    </row>
    <row r="27" spans="1:14" s="446" customFormat="1" ht="27.75" customHeight="1">
      <c r="A27" s="1737"/>
      <c r="B27" s="1718"/>
      <c r="C27" s="1719"/>
      <c r="D27" s="1720"/>
      <c r="E27" s="1718"/>
      <c r="F27" s="1719"/>
      <c r="G27" s="1720"/>
      <c r="H27" s="1718"/>
      <c r="I27" s="1719"/>
      <c r="J27" s="1720"/>
      <c r="K27" s="1718"/>
      <c r="L27" s="1719"/>
      <c r="M27" s="1720"/>
      <c r="N27" s="1363"/>
    </row>
    <row r="28" spans="1:14" ht="27.75" customHeight="1">
      <c r="A28" s="1737" t="s">
        <v>1286</v>
      </c>
      <c r="B28" s="1713">
        <f>SUM(B29:B30)</f>
        <v>42950</v>
      </c>
      <c r="C28" s="1704">
        <f>(D28*1000)/B28*1000</f>
        <v>7729.918509895227</v>
      </c>
      <c r="D28" s="1720">
        <f>SUM(D29:D30)</f>
        <v>332</v>
      </c>
      <c r="E28" s="1706" t="s">
        <v>464</v>
      </c>
      <c r="F28" s="1707" t="s">
        <v>464</v>
      </c>
      <c r="G28" s="1707" t="s">
        <v>464</v>
      </c>
      <c r="H28" s="1713">
        <f>SUM(H29:H30)</f>
        <v>5000</v>
      </c>
      <c r="I28" s="1704">
        <f>(J28*1000)/H28*1000</f>
        <v>5600</v>
      </c>
      <c r="J28" s="1720">
        <f>SUM(J29:J30)</f>
        <v>28</v>
      </c>
      <c r="K28" s="1713">
        <f>SUM(K29:K30)</f>
        <v>500</v>
      </c>
      <c r="L28" s="1704">
        <f>(M28*1000)/K28*1000</f>
        <v>3000</v>
      </c>
      <c r="M28" s="1720">
        <f>SUM(M29:M30)</f>
        <v>1.5</v>
      </c>
      <c r="N28" s="555" t="s">
        <v>1286</v>
      </c>
    </row>
    <row r="29" spans="1:14" ht="27.75" customHeight="1">
      <c r="A29" s="1736" t="s">
        <v>586</v>
      </c>
      <c r="B29" s="1712">
        <v>29950</v>
      </c>
      <c r="C29" s="1707">
        <f aca="true" t="shared" si="0" ref="C29:C35">(D29*1000)/B29*1000</f>
        <v>7245.409015025042</v>
      </c>
      <c r="D29" s="1717">
        <v>217</v>
      </c>
      <c r="E29" s="1706" t="s">
        <v>464</v>
      </c>
      <c r="F29" s="1707" t="s">
        <v>464</v>
      </c>
      <c r="G29" s="1707" t="s">
        <v>464</v>
      </c>
      <c r="H29" s="1712">
        <v>5000</v>
      </c>
      <c r="I29" s="1707">
        <f>(J29*1000)/H29*1000</f>
        <v>5600</v>
      </c>
      <c r="J29" s="1717">
        <v>28</v>
      </c>
      <c r="K29" s="1712">
        <v>500</v>
      </c>
      <c r="L29" s="1707">
        <f>(M29*1000)/K29*1000</f>
        <v>3000</v>
      </c>
      <c r="M29" s="1717">
        <v>1.5</v>
      </c>
      <c r="N29" s="1361" t="s">
        <v>586</v>
      </c>
    </row>
    <row r="30" spans="1:14" ht="27.75" customHeight="1">
      <c r="A30" s="1736" t="s">
        <v>587</v>
      </c>
      <c r="B30" s="1706">
        <v>13000</v>
      </c>
      <c r="C30" s="1707">
        <f t="shared" si="0"/>
        <v>8846.153846153848</v>
      </c>
      <c r="D30" s="1707">
        <v>115</v>
      </c>
      <c r="E30" s="1706" t="s">
        <v>464</v>
      </c>
      <c r="F30" s="1707" t="s">
        <v>464</v>
      </c>
      <c r="G30" s="1707" t="s">
        <v>464</v>
      </c>
      <c r="H30" s="1706" t="s">
        <v>464</v>
      </c>
      <c r="I30" s="1707" t="s">
        <v>464</v>
      </c>
      <c r="J30" s="1707" t="s">
        <v>464</v>
      </c>
      <c r="K30" s="1706" t="s">
        <v>464</v>
      </c>
      <c r="L30" s="1707" t="s">
        <v>464</v>
      </c>
      <c r="M30" s="1708" t="s">
        <v>464</v>
      </c>
      <c r="N30" s="1361" t="s">
        <v>587</v>
      </c>
    </row>
    <row r="31" spans="1:14" ht="27.75" customHeight="1">
      <c r="A31" s="1736"/>
      <c r="B31" s="1712"/>
      <c r="C31" s="1716"/>
      <c r="D31" s="1717"/>
      <c r="E31" s="1715"/>
      <c r="F31" s="1716"/>
      <c r="G31" s="1717"/>
      <c r="H31" s="1712"/>
      <c r="I31" s="1716"/>
      <c r="J31" s="1717"/>
      <c r="K31" s="1715"/>
      <c r="L31" s="1716"/>
      <c r="M31" s="1717"/>
      <c r="N31" s="1361"/>
    </row>
    <row r="32" spans="1:14" ht="27.75" customHeight="1">
      <c r="A32" s="1737" t="s">
        <v>1287</v>
      </c>
      <c r="B32" s="1713">
        <f>SUM(B33:B35)</f>
        <v>4500</v>
      </c>
      <c r="C32" s="1704">
        <f t="shared" si="0"/>
        <v>6666.666666666667</v>
      </c>
      <c r="D32" s="1720">
        <f>SUM(D33:D35)</f>
        <v>30</v>
      </c>
      <c r="E32" s="1713">
        <f>SUM(E33:E35)</f>
        <v>2300</v>
      </c>
      <c r="F32" s="1704">
        <f>(G32*1000)/E32*1000</f>
        <v>5217.391304347826</v>
      </c>
      <c r="G32" s="1720">
        <f>SUM(G33:G35)</f>
        <v>12</v>
      </c>
      <c r="H32" s="1713">
        <f>SUM(H33:H35)</f>
        <v>4000</v>
      </c>
      <c r="I32" s="1704">
        <f>(J32*1000)/H32*1000</f>
        <v>4750</v>
      </c>
      <c r="J32" s="1720">
        <f>SUM(J33:J35)</f>
        <v>19</v>
      </c>
      <c r="K32" s="1713">
        <f>SUM(K33:K35)</f>
        <v>2000</v>
      </c>
      <c r="L32" s="1704">
        <f>(M32*1000)/K32*1000</f>
        <v>2000</v>
      </c>
      <c r="M32" s="1720">
        <f>SUM(M33:M35)</f>
        <v>4</v>
      </c>
      <c r="N32" s="555" t="s">
        <v>1287</v>
      </c>
    </row>
    <row r="33" spans="1:14" ht="27.75" customHeight="1">
      <c r="A33" s="1736" t="s">
        <v>1273</v>
      </c>
      <c r="B33" s="1712">
        <v>1500</v>
      </c>
      <c r="C33" s="1707">
        <f t="shared" si="0"/>
        <v>7333.333333333333</v>
      </c>
      <c r="D33" s="1717">
        <v>11</v>
      </c>
      <c r="E33" s="1706">
        <v>2300</v>
      </c>
      <c r="F33" s="1707">
        <f>(G33*1000)/E33*1000</f>
        <v>5217.391304347826</v>
      </c>
      <c r="G33" s="1707">
        <v>12</v>
      </c>
      <c r="H33" s="1706" t="s">
        <v>464</v>
      </c>
      <c r="I33" s="1707" t="s">
        <v>464</v>
      </c>
      <c r="J33" s="1707" t="s">
        <v>464</v>
      </c>
      <c r="K33" s="1706">
        <v>2000</v>
      </c>
      <c r="L33" s="1707">
        <f>(M33*1000)/K33*1000</f>
        <v>2000</v>
      </c>
      <c r="M33" s="1708">
        <v>4</v>
      </c>
      <c r="N33" s="1361" t="s">
        <v>1273</v>
      </c>
    </row>
    <row r="34" spans="1:14" ht="27.75" customHeight="1">
      <c r="A34" s="1736" t="s">
        <v>596</v>
      </c>
      <c r="B34" s="1706" t="s">
        <v>464</v>
      </c>
      <c r="C34" s="1707" t="s">
        <v>464</v>
      </c>
      <c r="D34" s="1707" t="s">
        <v>464</v>
      </c>
      <c r="E34" s="1706" t="s">
        <v>464</v>
      </c>
      <c r="F34" s="1707" t="s">
        <v>464</v>
      </c>
      <c r="G34" s="1707" t="s">
        <v>464</v>
      </c>
      <c r="H34" s="1706" t="s">
        <v>464</v>
      </c>
      <c r="I34" s="1707" t="s">
        <v>464</v>
      </c>
      <c r="J34" s="1707" t="s">
        <v>464</v>
      </c>
      <c r="K34" s="1706" t="s">
        <v>464</v>
      </c>
      <c r="L34" s="1707" t="s">
        <v>464</v>
      </c>
      <c r="M34" s="1708" t="s">
        <v>464</v>
      </c>
      <c r="N34" s="1361" t="s">
        <v>596</v>
      </c>
    </row>
    <row r="35" spans="1:14" ht="27.75" customHeight="1" thickBot="1">
      <c r="A35" s="1738" t="s">
        <v>595</v>
      </c>
      <c r="B35" s="1721">
        <v>3000</v>
      </c>
      <c r="C35" s="1722">
        <f t="shared" si="0"/>
        <v>6333.333333333333</v>
      </c>
      <c r="D35" s="1723">
        <v>19</v>
      </c>
      <c r="E35" s="1724" t="s">
        <v>464</v>
      </c>
      <c r="F35" s="1722" t="s">
        <v>464</v>
      </c>
      <c r="G35" s="1722" t="s">
        <v>464</v>
      </c>
      <c r="H35" s="1721">
        <v>4000</v>
      </c>
      <c r="I35" s="1722">
        <f>(J35*1000)/H35*1000</f>
        <v>4750</v>
      </c>
      <c r="J35" s="1723">
        <v>19</v>
      </c>
      <c r="K35" s="1724" t="s">
        <v>464</v>
      </c>
      <c r="L35" s="1722" t="s">
        <v>464</v>
      </c>
      <c r="M35" s="1725" t="s">
        <v>464</v>
      </c>
      <c r="N35" s="1364" t="s">
        <v>595</v>
      </c>
    </row>
    <row r="36" spans="2:14" ht="27.75" customHeight="1">
      <c r="B36" s="1365"/>
      <c r="C36" s="1365"/>
      <c r="D36" s="1365"/>
      <c r="E36" s="1365"/>
      <c r="F36" s="1365"/>
      <c r="G36" s="1365"/>
      <c r="H36" s="1365"/>
      <c r="I36" s="1365"/>
      <c r="J36" s="1365"/>
      <c r="K36" s="1365"/>
      <c r="L36" s="1365"/>
      <c r="M36" s="1365"/>
      <c r="N36" s="1352"/>
    </row>
    <row r="37" spans="2:14" ht="27.75" customHeight="1" thickBot="1">
      <c r="B37" s="1365"/>
      <c r="C37" s="1365"/>
      <c r="D37" s="1365"/>
      <c r="E37" s="1365"/>
      <c r="F37" s="1365"/>
      <c r="G37" s="1365"/>
      <c r="H37" s="1365"/>
      <c r="I37" s="1365"/>
      <c r="J37" s="1365"/>
      <c r="K37" s="1365"/>
      <c r="L37" s="1365"/>
      <c r="M37" s="1365"/>
      <c r="N37" s="1352"/>
    </row>
    <row r="38" spans="1:14" ht="27.75" customHeight="1" thickBot="1">
      <c r="A38" s="1739"/>
      <c r="B38" s="2881" t="s">
        <v>521</v>
      </c>
      <c r="C38" s="2882"/>
      <c r="D38" s="2882"/>
      <c r="E38" s="2882"/>
      <c r="F38" s="2882"/>
      <c r="G38" s="2883"/>
      <c r="H38" s="2881" t="s">
        <v>522</v>
      </c>
      <c r="I38" s="2882"/>
      <c r="J38" s="2882"/>
      <c r="K38" s="2882"/>
      <c r="L38" s="2882"/>
      <c r="M38" s="2882"/>
      <c r="N38" s="1776"/>
    </row>
    <row r="39" spans="1:14" ht="27.75" customHeight="1" thickBot="1">
      <c r="A39" s="1730" t="s">
        <v>566</v>
      </c>
      <c r="B39" s="1766" t="s">
        <v>740</v>
      </c>
      <c r="C39" s="1766"/>
      <c r="D39" s="1767"/>
      <c r="E39" s="1768" t="s">
        <v>741</v>
      </c>
      <c r="F39" s="1766"/>
      <c r="G39" s="1767"/>
      <c r="H39" s="1768" t="s">
        <v>742</v>
      </c>
      <c r="I39" s="1766"/>
      <c r="J39" s="1767"/>
      <c r="K39" s="1768" t="s">
        <v>741</v>
      </c>
      <c r="L39" s="1766"/>
      <c r="M39" s="1769"/>
      <c r="N39" s="1777" t="s">
        <v>570</v>
      </c>
    </row>
    <row r="40" spans="1:14" ht="27.75" customHeight="1">
      <c r="A40" s="1730" t="s">
        <v>571</v>
      </c>
      <c r="B40" s="1770" t="s">
        <v>567</v>
      </c>
      <c r="C40" s="1771" t="s">
        <v>568</v>
      </c>
      <c r="D40" s="1771" t="s">
        <v>569</v>
      </c>
      <c r="E40" s="1771" t="s">
        <v>567</v>
      </c>
      <c r="F40" s="1771" t="s">
        <v>568</v>
      </c>
      <c r="G40" s="1771" t="s">
        <v>569</v>
      </c>
      <c r="H40" s="1771" t="s">
        <v>567</v>
      </c>
      <c r="I40" s="1771" t="s">
        <v>568</v>
      </c>
      <c r="J40" s="1771" t="s">
        <v>569</v>
      </c>
      <c r="K40" s="1771" t="s">
        <v>567</v>
      </c>
      <c r="L40" s="1771" t="s">
        <v>568</v>
      </c>
      <c r="M40" s="1778" t="s">
        <v>569</v>
      </c>
      <c r="N40" s="1777" t="s">
        <v>575</v>
      </c>
    </row>
    <row r="41" spans="1:14" ht="27.75" customHeight="1">
      <c r="A41" s="1730"/>
      <c r="B41" s="1772" t="s">
        <v>572</v>
      </c>
      <c r="C41" s="1773" t="s">
        <v>573</v>
      </c>
      <c r="D41" s="1773" t="s">
        <v>574</v>
      </c>
      <c r="E41" s="1773" t="s">
        <v>572</v>
      </c>
      <c r="F41" s="1773" t="s">
        <v>573</v>
      </c>
      <c r="G41" s="1773" t="s">
        <v>574</v>
      </c>
      <c r="H41" s="1773" t="s">
        <v>572</v>
      </c>
      <c r="I41" s="1773" t="s">
        <v>573</v>
      </c>
      <c r="J41" s="1773" t="s">
        <v>574</v>
      </c>
      <c r="K41" s="1773" t="s">
        <v>572</v>
      </c>
      <c r="L41" s="1773" t="s">
        <v>573</v>
      </c>
      <c r="M41" s="1773" t="s">
        <v>574</v>
      </c>
      <c r="N41" s="1779"/>
    </row>
    <row r="42" spans="1:14" ht="27.75" customHeight="1" thickBot="1">
      <c r="A42" s="1730"/>
      <c r="B42" s="1774" t="s">
        <v>1499</v>
      </c>
      <c r="C42" s="1775" t="s">
        <v>1267</v>
      </c>
      <c r="D42" s="1775" t="s">
        <v>577</v>
      </c>
      <c r="E42" s="1775" t="s">
        <v>1499</v>
      </c>
      <c r="F42" s="1775" t="s">
        <v>1267</v>
      </c>
      <c r="G42" s="1775" t="s">
        <v>577</v>
      </c>
      <c r="H42" s="1775" t="s">
        <v>1499</v>
      </c>
      <c r="I42" s="1775" t="s">
        <v>1267</v>
      </c>
      <c r="J42" s="1775" t="s">
        <v>577</v>
      </c>
      <c r="K42" s="1775" t="s">
        <v>1499</v>
      </c>
      <c r="L42" s="1775" t="s">
        <v>1267</v>
      </c>
      <c r="M42" s="1775" t="s">
        <v>577</v>
      </c>
      <c r="N42" s="1779"/>
    </row>
    <row r="43" spans="1:14" s="446" customFormat="1" ht="27.75" customHeight="1" thickBot="1">
      <c r="A43" s="1732" t="s">
        <v>578</v>
      </c>
      <c r="B43" s="1695">
        <f>SUM(B44+B56+B49)</f>
        <v>27000</v>
      </c>
      <c r="C43" s="1696">
        <f>(D43*1000)/B43*1000</f>
        <v>8037.0370370370365</v>
      </c>
      <c r="D43" s="1697">
        <f>SUM(D44+D56+D49)</f>
        <v>217</v>
      </c>
      <c r="E43" s="1695">
        <f>SUM(E62+E56)</f>
        <v>15200</v>
      </c>
      <c r="F43" s="1696">
        <f>(G43*1000)/E43*1000</f>
        <v>4671.0526315789475</v>
      </c>
      <c r="G43" s="1697">
        <f>SUM(G62+G56)</f>
        <v>71</v>
      </c>
      <c r="H43" s="1695">
        <f>SUM(H44+H49+H56)</f>
        <v>28000</v>
      </c>
      <c r="I43" s="1696">
        <f>(J43*1000)/H43*1000</f>
        <v>4357.142857142857</v>
      </c>
      <c r="J43" s="1697">
        <f>SUM(J49+J56+J44)</f>
        <v>122</v>
      </c>
      <c r="K43" s="1695">
        <f>SUM(K56+K62)</f>
        <v>8500</v>
      </c>
      <c r="L43" s="1696">
        <f>(M43*1000)/K43*1000</f>
        <v>3294.1176470588234</v>
      </c>
      <c r="M43" s="1698">
        <f>SUM(M56+M62)</f>
        <v>28</v>
      </c>
      <c r="N43" s="1358" t="s">
        <v>579</v>
      </c>
    </row>
    <row r="44" spans="1:14" s="446" customFormat="1" ht="27.75" customHeight="1">
      <c r="A44" s="1733" t="s">
        <v>580</v>
      </c>
      <c r="B44" s="1699">
        <f>SUM(B45:B47)</f>
        <v>5500</v>
      </c>
      <c r="C44" s="1700">
        <f>(D44*1000)/B44*1000</f>
        <v>8181.818181818182</v>
      </c>
      <c r="D44" s="1703">
        <f>SUM(D45:D47)</f>
        <v>45</v>
      </c>
      <c r="E44" s="1702" t="s">
        <v>464</v>
      </c>
      <c r="F44" s="1703" t="s">
        <v>464</v>
      </c>
      <c r="G44" s="1703" t="s">
        <v>464</v>
      </c>
      <c r="H44" s="1699">
        <f>SUM(H45:H47)</f>
        <v>4000</v>
      </c>
      <c r="I44" s="1700">
        <f>(J44*1000)/H44*1000</f>
        <v>4750</v>
      </c>
      <c r="J44" s="1726">
        <f>SUM(J45:J47)</f>
        <v>19</v>
      </c>
      <c r="K44" s="1702" t="s">
        <v>464</v>
      </c>
      <c r="L44" s="1703" t="s">
        <v>464</v>
      </c>
      <c r="M44" s="1705" t="s">
        <v>464</v>
      </c>
      <c r="N44" s="1360" t="s">
        <v>581</v>
      </c>
    </row>
    <row r="45" spans="1:14" ht="27.75" customHeight="1">
      <c r="A45" s="1734" t="s">
        <v>582</v>
      </c>
      <c r="B45" s="1706" t="s">
        <v>464</v>
      </c>
      <c r="C45" s="1707" t="s">
        <v>464</v>
      </c>
      <c r="D45" s="1707" t="s">
        <v>464</v>
      </c>
      <c r="E45" s="1706" t="s">
        <v>464</v>
      </c>
      <c r="F45" s="1707" t="s">
        <v>464</v>
      </c>
      <c r="G45" s="1707" t="s">
        <v>464</v>
      </c>
      <c r="H45" s="1706" t="s">
        <v>464</v>
      </c>
      <c r="I45" s="1707" t="s">
        <v>464</v>
      </c>
      <c r="J45" s="1707" t="s">
        <v>464</v>
      </c>
      <c r="K45" s="1706" t="s">
        <v>464</v>
      </c>
      <c r="L45" s="1707" t="s">
        <v>464</v>
      </c>
      <c r="M45" s="1708" t="s">
        <v>464</v>
      </c>
      <c r="N45" s="1361" t="s">
        <v>583</v>
      </c>
    </row>
    <row r="46" spans="1:14" ht="27.75" customHeight="1">
      <c r="A46" s="1734" t="s">
        <v>584</v>
      </c>
      <c r="B46" s="1709">
        <v>5500</v>
      </c>
      <c r="C46" s="1707">
        <f>(D46*1000)/B46*1000</f>
        <v>8181.818181818182</v>
      </c>
      <c r="D46" s="1711">
        <v>45</v>
      </c>
      <c r="E46" s="1706" t="s">
        <v>464</v>
      </c>
      <c r="F46" s="1707" t="s">
        <v>464</v>
      </c>
      <c r="G46" s="1707" t="s">
        <v>464</v>
      </c>
      <c r="H46" s="1709">
        <v>4000</v>
      </c>
      <c r="I46" s="1707">
        <f>(J46*1000)/H46*1000</f>
        <v>4750</v>
      </c>
      <c r="J46" s="1727">
        <v>19</v>
      </c>
      <c r="K46" s="1706" t="s">
        <v>464</v>
      </c>
      <c r="L46" s="1707" t="s">
        <v>464</v>
      </c>
      <c r="M46" s="1708" t="s">
        <v>464</v>
      </c>
      <c r="N46" s="1361" t="s">
        <v>584</v>
      </c>
    </row>
    <row r="47" spans="1:14" ht="27.75" customHeight="1">
      <c r="A47" s="1734" t="s">
        <v>585</v>
      </c>
      <c r="B47" s="1706" t="s">
        <v>464</v>
      </c>
      <c r="C47" s="1707" t="s">
        <v>464</v>
      </c>
      <c r="D47" s="1707" t="s">
        <v>464</v>
      </c>
      <c r="E47" s="1706" t="s">
        <v>464</v>
      </c>
      <c r="F47" s="1707" t="s">
        <v>464</v>
      </c>
      <c r="G47" s="1707" t="s">
        <v>464</v>
      </c>
      <c r="H47" s="1706" t="s">
        <v>464</v>
      </c>
      <c r="I47" s="1707" t="s">
        <v>464</v>
      </c>
      <c r="J47" s="1707" t="s">
        <v>464</v>
      </c>
      <c r="K47" s="1706" t="s">
        <v>464</v>
      </c>
      <c r="L47" s="1707" t="s">
        <v>464</v>
      </c>
      <c r="M47" s="1708" t="s">
        <v>464</v>
      </c>
      <c r="N47" s="1361" t="s">
        <v>585</v>
      </c>
    </row>
    <row r="48" spans="1:14" ht="27.75" customHeight="1">
      <c r="A48" s="1734"/>
      <c r="B48" s="1712"/>
      <c r="C48" s="1707"/>
      <c r="D48" s="1708"/>
      <c r="E48" s="1712"/>
      <c r="F48" s="1707"/>
      <c r="G48" s="1708"/>
      <c r="H48" s="1712"/>
      <c r="I48" s="1707"/>
      <c r="J48" s="1708"/>
      <c r="K48" s="1712"/>
      <c r="L48" s="1707"/>
      <c r="M48" s="1708"/>
      <c r="N48" s="1361"/>
    </row>
    <row r="49" spans="1:14" ht="27.75" customHeight="1">
      <c r="A49" s="1735" t="s">
        <v>588</v>
      </c>
      <c r="B49" s="1886">
        <f>SUM(B50:B54)</f>
        <v>3000</v>
      </c>
      <c r="C49" s="1704">
        <f>(D49*1000)/B49*1000</f>
        <v>7333.333333333333</v>
      </c>
      <c r="D49" s="1704">
        <f>SUM(D50:D54)</f>
        <v>22</v>
      </c>
      <c r="E49" s="1706" t="s">
        <v>464</v>
      </c>
      <c r="F49" s="1707" t="s">
        <v>464</v>
      </c>
      <c r="G49" s="1707" t="s">
        <v>464</v>
      </c>
      <c r="H49" s="1713">
        <f>SUM(H50:H54)</f>
        <v>17000</v>
      </c>
      <c r="I49" s="1704">
        <f>(J49*1000)/H49*1000</f>
        <v>4176.470588235295</v>
      </c>
      <c r="J49" s="1714">
        <f>SUM(J50:J54)</f>
        <v>71</v>
      </c>
      <c r="K49" s="1706" t="s">
        <v>464</v>
      </c>
      <c r="L49" s="1707" t="s">
        <v>464</v>
      </c>
      <c r="M49" s="1708" t="s">
        <v>464</v>
      </c>
      <c r="N49" s="555" t="s">
        <v>589</v>
      </c>
    </row>
    <row r="50" spans="1:14" ht="27.75" customHeight="1">
      <c r="A50" s="1734" t="s">
        <v>590</v>
      </c>
      <c r="B50" s="1706" t="s">
        <v>464</v>
      </c>
      <c r="C50" s="1707" t="s">
        <v>464</v>
      </c>
      <c r="D50" s="1707" t="s">
        <v>464</v>
      </c>
      <c r="E50" s="1706" t="s">
        <v>464</v>
      </c>
      <c r="F50" s="1707" t="s">
        <v>464</v>
      </c>
      <c r="G50" s="1707" t="s">
        <v>464</v>
      </c>
      <c r="H50" s="1706" t="s">
        <v>464</v>
      </c>
      <c r="I50" s="1707" t="s">
        <v>464</v>
      </c>
      <c r="J50" s="1707" t="s">
        <v>464</v>
      </c>
      <c r="K50" s="1706" t="s">
        <v>464</v>
      </c>
      <c r="L50" s="1707" t="s">
        <v>464</v>
      </c>
      <c r="M50" s="1708" t="s">
        <v>464</v>
      </c>
      <c r="N50" s="1361" t="s">
        <v>591</v>
      </c>
    </row>
    <row r="51" spans="1:14" s="446" customFormat="1" ht="27.75" customHeight="1">
      <c r="A51" s="1734" t="s">
        <v>592</v>
      </c>
      <c r="B51" s="1706" t="s">
        <v>464</v>
      </c>
      <c r="C51" s="1707" t="s">
        <v>464</v>
      </c>
      <c r="D51" s="1707" t="s">
        <v>464</v>
      </c>
      <c r="E51" s="1706" t="s">
        <v>464</v>
      </c>
      <c r="F51" s="1707" t="s">
        <v>464</v>
      </c>
      <c r="G51" s="1707" t="s">
        <v>464</v>
      </c>
      <c r="H51" s="1706" t="s">
        <v>464</v>
      </c>
      <c r="I51" s="1707" t="s">
        <v>464</v>
      </c>
      <c r="J51" s="1707" t="s">
        <v>464</v>
      </c>
      <c r="K51" s="1706" t="s">
        <v>464</v>
      </c>
      <c r="L51" s="1707" t="s">
        <v>464</v>
      </c>
      <c r="M51" s="1708" t="s">
        <v>464</v>
      </c>
      <c r="N51" s="1361" t="s">
        <v>593</v>
      </c>
    </row>
    <row r="52" spans="1:14" ht="27.75" customHeight="1">
      <c r="A52" s="1734" t="s">
        <v>594</v>
      </c>
      <c r="B52" s="1706" t="s">
        <v>464</v>
      </c>
      <c r="C52" s="1707" t="s">
        <v>464</v>
      </c>
      <c r="D52" s="1707" t="s">
        <v>464</v>
      </c>
      <c r="E52" s="1706" t="s">
        <v>464</v>
      </c>
      <c r="F52" s="1707" t="s">
        <v>464</v>
      </c>
      <c r="G52" s="1707" t="s">
        <v>464</v>
      </c>
      <c r="H52" s="1706">
        <v>2000</v>
      </c>
      <c r="I52" s="1707">
        <f>(J52*1000)/H52*1000</f>
        <v>4500</v>
      </c>
      <c r="J52" s="1707">
        <v>9</v>
      </c>
      <c r="K52" s="1706" t="s">
        <v>464</v>
      </c>
      <c r="L52" s="1707" t="s">
        <v>464</v>
      </c>
      <c r="M52" s="1708" t="s">
        <v>464</v>
      </c>
      <c r="N52" s="1361" t="s">
        <v>594</v>
      </c>
    </row>
    <row r="53" spans="1:14" ht="27.75" customHeight="1">
      <c r="A53" s="1734" t="s">
        <v>599</v>
      </c>
      <c r="B53" s="1906">
        <v>3000</v>
      </c>
      <c r="C53" s="1727">
        <f>(D53*1000)/B53*1000</f>
        <v>7333.333333333333</v>
      </c>
      <c r="D53" s="1727">
        <v>22</v>
      </c>
      <c r="E53" s="1706" t="s">
        <v>464</v>
      </c>
      <c r="F53" s="1707" t="s">
        <v>464</v>
      </c>
      <c r="G53" s="1707" t="s">
        <v>464</v>
      </c>
      <c r="H53" s="1712">
        <v>15000</v>
      </c>
      <c r="I53" s="1707">
        <f>(J53*1000)/H53*1000</f>
        <v>4133.333333333334</v>
      </c>
      <c r="J53" s="1708">
        <v>62</v>
      </c>
      <c r="K53" s="1706" t="s">
        <v>464</v>
      </c>
      <c r="L53" s="1707" t="s">
        <v>464</v>
      </c>
      <c r="M53" s="1708" t="s">
        <v>464</v>
      </c>
      <c r="N53" s="1361" t="s">
        <v>599</v>
      </c>
    </row>
    <row r="54" spans="1:14" ht="27.75" customHeight="1">
      <c r="A54" s="1734" t="s">
        <v>598</v>
      </c>
      <c r="B54" s="1706" t="s">
        <v>464</v>
      </c>
      <c r="C54" s="1707" t="s">
        <v>464</v>
      </c>
      <c r="D54" s="1707" t="s">
        <v>464</v>
      </c>
      <c r="E54" s="1706" t="s">
        <v>464</v>
      </c>
      <c r="F54" s="1707" t="s">
        <v>464</v>
      </c>
      <c r="G54" s="1707" t="s">
        <v>464</v>
      </c>
      <c r="H54" s="1706" t="s">
        <v>464</v>
      </c>
      <c r="I54" s="1707" t="s">
        <v>464</v>
      </c>
      <c r="J54" s="1707" t="s">
        <v>464</v>
      </c>
      <c r="K54" s="1706" t="s">
        <v>464</v>
      </c>
      <c r="L54" s="1707" t="s">
        <v>464</v>
      </c>
      <c r="M54" s="1708" t="s">
        <v>464</v>
      </c>
      <c r="N54" s="1361" t="s">
        <v>598</v>
      </c>
    </row>
    <row r="55" spans="1:14" ht="27.75" customHeight="1">
      <c r="A55" s="1736"/>
      <c r="B55" s="1715"/>
      <c r="C55" s="1716"/>
      <c r="D55" s="1717"/>
      <c r="E55" s="1715"/>
      <c r="F55" s="1716"/>
      <c r="G55" s="1717"/>
      <c r="H55" s="1715"/>
      <c r="I55" s="1716"/>
      <c r="J55" s="1717"/>
      <c r="K55" s="1715"/>
      <c r="L55" s="1716"/>
      <c r="M55" s="1717"/>
      <c r="N55" s="1361"/>
    </row>
    <row r="56" spans="1:14" ht="27.75" customHeight="1">
      <c r="A56" s="1735" t="s">
        <v>601</v>
      </c>
      <c r="B56" s="1713">
        <f>SUM(B57:B60)</f>
        <v>18500</v>
      </c>
      <c r="C56" s="1704">
        <f>(D56*1000)/B56*1000</f>
        <v>8108.108108108108</v>
      </c>
      <c r="D56" s="1714">
        <f>SUM(D57:D60)</f>
        <v>150</v>
      </c>
      <c r="E56" s="1886">
        <f>SUM(E57:E60)</f>
        <v>7200</v>
      </c>
      <c r="F56" s="1704">
        <f>(G56*1000)/E56*1000</f>
        <v>4583.333333333333</v>
      </c>
      <c r="G56" s="1704">
        <f>SUM(G57:G60)</f>
        <v>33</v>
      </c>
      <c r="H56" s="1713">
        <f>SUM(H57:H60)</f>
        <v>7000</v>
      </c>
      <c r="I56" s="1704">
        <f>(J56*1000)/H56*1000</f>
        <v>4571.428571428572</v>
      </c>
      <c r="J56" s="1714">
        <f>SUM(J57:J60)</f>
        <v>32</v>
      </c>
      <c r="K56" s="1903">
        <f>SUM(K57:K60)</f>
        <v>8000</v>
      </c>
      <c r="L56" s="1904">
        <f>(M56*1000)/K56*1000</f>
        <v>3250</v>
      </c>
      <c r="M56" s="1905">
        <f>SUM(M57:M60)</f>
        <v>26</v>
      </c>
      <c r="N56" s="555" t="s">
        <v>602</v>
      </c>
    </row>
    <row r="57" spans="1:14" ht="27.75" customHeight="1">
      <c r="A57" s="1734" t="s">
        <v>603</v>
      </c>
      <c r="B57" s="1706">
        <v>1000</v>
      </c>
      <c r="C57" s="1707">
        <f>(D57*1000)/B57*1000</f>
        <v>7000</v>
      </c>
      <c r="D57" s="1707">
        <v>7</v>
      </c>
      <c r="E57" s="1706">
        <v>6000</v>
      </c>
      <c r="F57" s="1707">
        <f>(G57*1000)/E57*1000</f>
        <v>4666.666666666667</v>
      </c>
      <c r="G57" s="1707">
        <v>28</v>
      </c>
      <c r="H57" s="1706" t="s">
        <v>464</v>
      </c>
      <c r="I57" s="1707" t="s">
        <v>464</v>
      </c>
      <c r="J57" s="1707" t="s">
        <v>464</v>
      </c>
      <c r="K57" s="1906">
        <v>5000</v>
      </c>
      <c r="L57" s="1727">
        <f>(M57*1000)/K57*1000</f>
        <v>3200</v>
      </c>
      <c r="M57" s="1907">
        <v>16</v>
      </c>
      <c r="N57" s="1361" t="s">
        <v>604</v>
      </c>
    </row>
    <row r="58" spans="1:14" ht="27.75" customHeight="1">
      <c r="A58" s="1734" t="s">
        <v>605</v>
      </c>
      <c r="B58" s="1712">
        <v>15000</v>
      </c>
      <c r="C58" s="1707">
        <f>(D58*1000)/B58*1000</f>
        <v>8333.333333333334</v>
      </c>
      <c r="D58" s="1708">
        <v>125</v>
      </c>
      <c r="E58" s="1706" t="s">
        <v>464</v>
      </c>
      <c r="F58" s="1707" t="s">
        <v>464</v>
      </c>
      <c r="G58" s="1707" t="s">
        <v>464</v>
      </c>
      <c r="H58" s="1712">
        <v>5000</v>
      </c>
      <c r="I58" s="1707">
        <f>(J58*1000)/H58*1000</f>
        <v>4600</v>
      </c>
      <c r="J58" s="1708">
        <v>23</v>
      </c>
      <c r="K58" s="1908">
        <v>3000</v>
      </c>
      <c r="L58" s="1727">
        <f>(M58*1000)/K58*1000</f>
        <v>3333.3333333333335</v>
      </c>
      <c r="M58" s="1907">
        <v>10</v>
      </c>
      <c r="N58" s="1361" t="s">
        <v>606</v>
      </c>
    </row>
    <row r="59" spans="1:14" ht="27.75" customHeight="1">
      <c r="A59" s="1734" t="s">
        <v>607</v>
      </c>
      <c r="B59" s="1706" t="s">
        <v>464</v>
      </c>
      <c r="C59" s="1707" t="s">
        <v>464</v>
      </c>
      <c r="D59" s="1707" t="s">
        <v>464</v>
      </c>
      <c r="E59" s="1706" t="s">
        <v>464</v>
      </c>
      <c r="F59" s="1707" t="s">
        <v>464</v>
      </c>
      <c r="G59" s="1707" t="s">
        <v>464</v>
      </c>
      <c r="H59" s="1706" t="s">
        <v>464</v>
      </c>
      <c r="I59" s="1707" t="s">
        <v>464</v>
      </c>
      <c r="J59" s="1707" t="s">
        <v>464</v>
      </c>
      <c r="K59" s="1706" t="s">
        <v>464</v>
      </c>
      <c r="L59" s="1707" t="s">
        <v>464</v>
      </c>
      <c r="M59" s="1708" t="s">
        <v>464</v>
      </c>
      <c r="N59" s="1361" t="s">
        <v>607</v>
      </c>
    </row>
    <row r="60" spans="1:14" ht="27.75" customHeight="1">
      <c r="A60" s="1734" t="s">
        <v>608</v>
      </c>
      <c r="B60" s="1706">
        <v>2500</v>
      </c>
      <c r="C60" s="1707">
        <f>(D60*1000)/B60*1000</f>
        <v>7200</v>
      </c>
      <c r="D60" s="1707">
        <v>18</v>
      </c>
      <c r="E60" s="1706">
        <v>1200</v>
      </c>
      <c r="F60" s="1707">
        <f>(G60*1000)/E60*1000</f>
        <v>4166.666666666667</v>
      </c>
      <c r="G60" s="1707">
        <v>5</v>
      </c>
      <c r="H60" s="1706">
        <v>2000</v>
      </c>
      <c r="I60" s="1707">
        <f>(J60*1000)/H60*1000</f>
        <v>4500</v>
      </c>
      <c r="J60" s="1707">
        <v>9</v>
      </c>
      <c r="K60" s="1706" t="s">
        <v>464</v>
      </c>
      <c r="L60" s="1707" t="s">
        <v>464</v>
      </c>
      <c r="M60" s="1708" t="s">
        <v>464</v>
      </c>
      <c r="N60" s="1361" t="s">
        <v>608</v>
      </c>
    </row>
    <row r="61" spans="1:14" s="446" customFormat="1" ht="27.75" customHeight="1">
      <c r="A61" s="1737"/>
      <c r="B61" s="1718"/>
      <c r="C61" s="1719"/>
      <c r="D61" s="1720"/>
      <c r="E61" s="1718"/>
      <c r="F61" s="1719"/>
      <c r="G61" s="1720"/>
      <c r="H61" s="1718"/>
      <c r="I61" s="1719"/>
      <c r="J61" s="1720"/>
      <c r="K61" s="1718"/>
      <c r="L61" s="1719"/>
      <c r="M61" s="1720"/>
      <c r="N61" s="1363"/>
    </row>
    <row r="62" spans="1:14" ht="27.75" customHeight="1">
      <c r="A62" s="1737" t="s">
        <v>1286</v>
      </c>
      <c r="B62" s="1706" t="s">
        <v>464</v>
      </c>
      <c r="C62" s="1707" t="s">
        <v>464</v>
      </c>
      <c r="D62" s="1707" t="s">
        <v>464</v>
      </c>
      <c r="E62" s="1713">
        <f>SUM(E63:E64)</f>
        <v>8000</v>
      </c>
      <c r="F62" s="1704">
        <f>(G62*1000)/E62*1000</f>
        <v>4750</v>
      </c>
      <c r="G62" s="1720">
        <f>SUM(G63:G64)</f>
        <v>38</v>
      </c>
      <c r="H62" s="1706" t="s">
        <v>464</v>
      </c>
      <c r="I62" s="1707" t="s">
        <v>464</v>
      </c>
      <c r="J62" s="1707" t="s">
        <v>464</v>
      </c>
      <c r="K62" s="1713">
        <f>SUM(K63:K64)</f>
        <v>500</v>
      </c>
      <c r="L62" s="1704">
        <f>(M62*1000)/K62*1000</f>
        <v>4000</v>
      </c>
      <c r="M62" s="1720">
        <f>SUM(M63:M64)</f>
        <v>2</v>
      </c>
      <c r="N62" s="555" t="s">
        <v>1286</v>
      </c>
    </row>
    <row r="63" spans="1:14" ht="27.75" customHeight="1">
      <c r="A63" s="1736" t="s">
        <v>586</v>
      </c>
      <c r="B63" s="1706" t="s">
        <v>464</v>
      </c>
      <c r="C63" s="1707" t="s">
        <v>464</v>
      </c>
      <c r="D63" s="1707" t="s">
        <v>464</v>
      </c>
      <c r="E63" s="1712">
        <v>4500</v>
      </c>
      <c r="F63" s="1707">
        <f>(G63*1000)/E63*1000</f>
        <v>4444.444444444444</v>
      </c>
      <c r="G63" s="1717">
        <v>20</v>
      </c>
      <c r="H63" s="1706" t="s">
        <v>464</v>
      </c>
      <c r="I63" s="1707" t="s">
        <v>464</v>
      </c>
      <c r="J63" s="1707" t="s">
        <v>464</v>
      </c>
      <c r="K63" s="1709">
        <v>500</v>
      </c>
      <c r="L63" s="1707">
        <f>(M63*1000)/K63*1000</f>
        <v>4000</v>
      </c>
      <c r="M63" s="2590">
        <v>2</v>
      </c>
      <c r="N63" s="1361" t="s">
        <v>586</v>
      </c>
    </row>
    <row r="64" spans="1:14" ht="27.75" customHeight="1">
      <c r="A64" s="1736" t="s">
        <v>587</v>
      </c>
      <c r="B64" s="1706" t="s">
        <v>464</v>
      </c>
      <c r="C64" s="1707" t="s">
        <v>464</v>
      </c>
      <c r="D64" s="1707" t="s">
        <v>464</v>
      </c>
      <c r="E64" s="1706">
        <v>3500</v>
      </c>
      <c r="F64" s="1707">
        <f>(G64*1000)/E64*1000</f>
        <v>5142.857142857143</v>
      </c>
      <c r="G64" s="1707">
        <v>18</v>
      </c>
      <c r="H64" s="1706" t="s">
        <v>464</v>
      </c>
      <c r="I64" s="1707" t="s">
        <v>464</v>
      </c>
      <c r="J64" s="1707" t="s">
        <v>464</v>
      </c>
      <c r="K64" s="2219" t="s">
        <v>464</v>
      </c>
      <c r="L64" s="1883" t="s">
        <v>464</v>
      </c>
      <c r="M64" s="2220" t="s">
        <v>464</v>
      </c>
      <c r="N64" s="1361" t="s">
        <v>587</v>
      </c>
    </row>
    <row r="65" spans="1:14" ht="27.75" customHeight="1">
      <c r="A65" s="1736"/>
      <c r="B65" s="1715"/>
      <c r="C65" s="1716"/>
      <c r="D65" s="1717"/>
      <c r="E65" s="1715"/>
      <c r="F65" s="1716"/>
      <c r="G65" s="1717"/>
      <c r="H65" s="1715"/>
      <c r="I65" s="1716"/>
      <c r="J65" s="1717"/>
      <c r="K65" s="1715"/>
      <c r="L65" s="1716"/>
      <c r="M65" s="1717"/>
      <c r="N65" s="1361"/>
    </row>
    <row r="66" spans="1:14" ht="27.75" customHeight="1">
      <c r="A66" s="1737" t="s">
        <v>1287</v>
      </c>
      <c r="B66" s="1706" t="s">
        <v>464</v>
      </c>
      <c r="C66" s="1707" t="s">
        <v>464</v>
      </c>
      <c r="D66" s="1707" t="s">
        <v>464</v>
      </c>
      <c r="E66" s="1706" t="s">
        <v>464</v>
      </c>
      <c r="F66" s="1707" t="s">
        <v>464</v>
      </c>
      <c r="G66" s="1707" t="s">
        <v>464</v>
      </c>
      <c r="H66" s="1706" t="s">
        <v>464</v>
      </c>
      <c r="I66" s="1707" t="s">
        <v>464</v>
      </c>
      <c r="J66" s="1707" t="s">
        <v>464</v>
      </c>
      <c r="K66" s="1706" t="s">
        <v>464</v>
      </c>
      <c r="L66" s="1707" t="s">
        <v>464</v>
      </c>
      <c r="M66" s="1708" t="s">
        <v>464</v>
      </c>
      <c r="N66" s="555" t="s">
        <v>1287</v>
      </c>
    </row>
    <row r="67" spans="1:14" ht="27.75" customHeight="1">
      <c r="A67" s="1736" t="s">
        <v>1273</v>
      </c>
      <c r="B67" s="1706" t="s">
        <v>464</v>
      </c>
      <c r="C67" s="1707" t="s">
        <v>464</v>
      </c>
      <c r="D67" s="1707" t="s">
        <v>464</v>
      </c>
      <c r="E67" s="1706" t="s">
        <v>464</v>
      </c>
      <c r="F67" s="1707" t="s">
        <v>464</v>
      </c>
      <c r="G67" s="1707" t="s">
        <v>464</v>
      </c>
      <c r="H67" s="1706" t="s">
        <v>464</v>
      </c>
      <c r="I67" s="1707" t="s">
        <v>464</v>
      </c>
      <c r="J67" s="1707" t="s">
        <v>464</v>
      </c>
      <c r="K67" s="1706" t="s">
        <v>464</v>
      </c>
      <c r="L67" s="1707" t="s">
        <v>464</v>
      </c>
      <c r="M67" s="1708" t="s">
        <v>464</v>
      </c>
      <c r="N67" s="1361" t="s">
        <v>1273</v>
      </c>
    </row>
    <row r="68" spans="1:14" ht="27.75" customHeight="1">
      <c r="A68" s="1736" t="s">
        <v>596</v>
      </c>
      <c r="B68" s="1706" t="s">
        <v>464</v>
      </c>
      <c r="C68" s="1707" t="s">
        <v>464</v>
      </c>
      <c r="D68" s="1707" t="s">
        <v>464</v>
      </c>
      <c r="E68" s="1706" t="s">
        <v>464</v>
      </c>
      <c r="F68" s="1707" t="s">
        <v>464</v>
      </c>
      <c r="G68" s="1707" t="s">
        <v>464</v>
      </c>
      <c r="H68" s="1706" t="s">
        <v>464</v>
      </c>
      <c r="I68" s="1707" t="s">
        <v>464</v>
      </c>
      <c r="J68" s="1707" t="s">
        <v>464</v>
      </c>
      <c r="K68" s="1706" t="s">
        <v>464</v>
      </c>
      <c r="L68" s="1707" t="s">
        <v>464</v>
      </c>
      <c r="M68" s="1708" t="s">
        <v>464</v>
      </c>
      <c r="N68" s="1361" t="s">
        <v>596</v>
      </c>
    </row>
    <row r="69" spans="1:14" ht="27.75" customHeight="1" thickBot="1">
      <c r="A69" s="1738" t="s">
        <v>595</v>
      </c>
      <c r="B69" s="1724" t="s">
        <v>464</v>
      </c>
      <c r="C69" s="1722" t="s">
        <v>464</v>
      </c>
      <c r="D69" s="1722" t="s">
        <v>464</v>
      </c>
      <c r="E69" s="1724" t="s">
        <v>464</v>
      </c>
      <c r="F69" s="1722" t="s">
        <v>464</v>
      </c>
      <c r="G69" s="1722" t="s">
        <v>464</v>
      </c>
      <c r="H69" s="1724" t="s">
        <v>464</v>
      </c>
      <c r="I69" s="1722" t="s">
        <v>464</v>
      </c>
      <c r="J69" s="1722" t="s">
        <v>464</v>
      </c>
      <c r="K69" s="1724" t="s">
        <v>464</v>
      </c>
      <c r="L69" s="1722" t="s">
        <v>464</v>
      </c>
      <c r="M69" s="1725" t="s">
        <v>464</v>
      </c>
      <c r="N69" s="1364" t="s">
        <v>595</v>
      </c>
    </row>
    <row r="70" spans="2:13" ht="26.25">
      <c r="B70" s="627"/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</row>
    <row r="71" spans="2:13" ht="26.25">
      <c r="B71" s="627"/>
      <c r="C71" s="627"/>
      <c r="D71" s="627"/>
      <c r="E71" s="627"/>
      <c r="F71" s="627"/>
      <c r="G71" s="627"/>
      <c r="H71" s="627"/>
      <c r="I71" s="627"/>
      <c r="J71" s="627"/>
      <c r="K71" s="627"/>
      <c r="L71" s="627"/>
      <c r="M71" s="627"/>
    </row>
    <row r="72" spans="2:13" ht="26.25">
      <c r="B72" s="627"/>
      <c r="C72" s="627"/>
      <c r="D72" s="627"/>
      <c r="E72" s="627"/>
      <c r="F72" s="627"/>
      <c r="G72" s="627"/>
      <c r="H72" s="627"/>
      <c r="I72" s="627"/>
      <c r="J72" s="627"/>
      <c r="K72" s="627"/>
      <c r="L72" s="627"/>
      <c r="M72" s="627"/>
    </row>
    <row r="73" spans="2:13" ht="26.25">
      <c r="B73" s="627"/>
      <c r="C73" s="627"/>
      <c r="D73" s="627"/>
      <c r="E73" s="627"/>
      <c r="F73" s="627"/>
      <c r="G73" s="627"/>
      <c r="H73" s="627"/>
      <c r="I73" s="627"/>
      <c r="J73" s="627"/>
      <c r="K73" s="627"/>
      <c r="L73" s="627"/>
      <c r="M73" s="627"/>
    </row>
    <row r="74" spans="2:13" ht="26.25">
      <c r="B74" s="627"/>
      <c r="C74" s="627"/>
      <c r="D74" s="627"/>
      <c r="E74" s="627"/>
      <c r="F74" s="627"/>
      <c r="G74" s="627"/>
      <c r="H74" s="627"/>
      <c r="I74" s="627"/>
      <c r="J74" s="627"/>
      <c r="K74" s="627"/>
      <c r="L74" s="627"/>
      <c r="M74" s="627"/>
    </row>
    <row r="75" spans="2:13" ht="26.25"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</row>
  </sheetData>
  <sheetProtection/>
  <mergeCells count="4">
    <mergeCell ref="B38:G38"/>
    <mergeCell ref="H38:M38"/>
    <mergeCell ref="B4:G4"/>
    <mergeCell ref="H4:M4"/>
  </mergeCells>
  <printOptions/>
  <pageMargins left="0.41" right="0.5905511811023623" top="0.5511811023622047" bottom="0.7480314960629921" header="0.31496062992125984" footer="0.31496062992125984"/>
  <pageSetup horizontalDpi="300" verticalDpi="300" orientation="portrait" paperSize="9" scale="3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07"/>
  <sheetViews>
    <sheetView zoomScale="55" zoomScaleNormal="55" zoomScalePageLayoutView="0" workbookViewId="0" topLeftCell="A1">
      <selection activeCell="A4" sqref="A4:N106"/>
    </sheetView>
  </sheetViews>
  <sheetFormatPr defaultColWidth="19.28125" defaultRowHeight="12.75"/>
  <cols>
    <col min="1" max="1" width="24.57421875" style="159" customWidth="1"/>
    <col min="2" max="2" width="14.140625" style="159" customWidth="1"/>
    <col min="3" max="3" width="18.140625" style="159" customWidth="1"/>
    <col min="4" max="4" width="18.421875" style="630" customWidth="1"/>
    <col min="5" max="5" width="16.8515625" style="159" customWidth="1"/>
    <col min="6" max="6" width="11.57421875" style="159" customWidth="1"/>
    <col min="7" max="7" width="17.7109375" style="159" customWidth="1"/>
    <col min="8" max="8" width="14.7109375" style="159" customWidth="1"/>
    <col min="9" max="9" width="16.00390625" style="159" customWidth="1"/>
    <col min="10" max="10" width="18.8515625" style="159" customWidth="1"/>
    <col min="11" max="11" width="16.7109375" style="159" customWidth="1"/>
    <col min="12" max="12" width="19.57421875" style="159" customWidth="1"/>
    <col min="13" max="13" width="19.421875" style="159" customWidth="1"/>
    <col min="14" max="14" width="24.57421875" style="631" customWidth="1"/>
    <col min="15" max="16384" width="19.28125" style="159" customWidth="1"/>
  </cols>
  <sheetData>
    <row r="1" spans="1:14" s="166" customFormat="1" ht="24.75" customHeight="1">
      <c r="A1" s="201" t="s">
        <v>1514</v>
      </c>
      <c r="B1" s="201"/>
      <c r="C1" s="220"/>
      <c r="D1" s="291"/>
      <c r="E1" s="220"/>
      <c r="F1" s="220"/>
      <c r="G1" s="220"/>
      <c r="H1" s="220"/>
      <c r="I1" s="220"/>
      <c r="J1" s="220"/>
      <c r="K1" s="220"/>
      <c r="L1" s="220"/>
      <c r="M1" s="220"/>
      <c r="N1" s="285"/>
    </row>
    <row r="2" spans="1:14" s="629" customFormat="1" ht="24.75" customHeight="1">
      <c r="A2" s="204" t="s">
        <v>1515</v>
      </c>
      <c r="B2" s="204"/>
      <c r="C2" s="285"/>
      <c r="D2" s="1366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14.25" customHeight="1" thickBot="1">
      <c r="A3" s="221"/>
      <c r="B3" s="221"/>
      <c r="C3" s="221"/>
      <c r="D3" s="290"/>
      <c r="E3" s="221"/>
      <c r="F3" s="221"/>
      <c r="G3" s="221"/>
      <c r="H3" s="221"/>
      <c r="I3" s="221"/>
      <c r="J3" s="221"/>
      <c r="K3" s="221"/>
      <c r="L3" s="221"/>
      <c r="M3" s="221"/>
      <c r="N3" s="222"/>
    </row>
    <row r="4" spans="1:14" s="202" customFormat="1" ht="27" customHeight="1" thickBot="1">
      <c r="A4" s="415"/>
      <c r="B4" s="1635"/>
      <c r="C4" s="1638"/>
      <c r="D4" s="1780" t="s">
        <v>743</v>
      </c>
      <c r="E4" s="1638"/>
      <c r="F4" s="1638"/>
      <c r="G4" s="1637"/>
      <c r="H4" s="1635"/>
      <c r="I4" s="1638" t="s">
        <v>744</v>
      </c>
      <c r="J4" s="1638"/>
      <c r="K4" s="1638"/>
      <c r="L4" s="1638"/>
      <c r="M4" s="1638"/>
      <c r="N4" s="1781"/>
    </row>
    <row r="5" spans="1:14" s="202" customFormat="1" ht="27" customHeight="1" thickBot="1">
      <c r="A5" s="1782" t="s">
        <v>566</v>
      </c>
      <c r="B5" s="1638" t="s">
        <v>523</v>
      </c>
      <c r="C5" s="1638"/>
      <c r="D5" s="1783"/>
      <c r="E5" s="1635" t="s">
        <v>741</v>
      </c>
      <c r="F5" s="1638"/>
      <c r="G5" s="1637"/>
      <c r="H5" s="1635" t="s">
        <v>742</v>
      </c>
      <c r="I5" s="1638"/>
      <c r="J5" s="1637"/>
      <c r="K5" s="1635" t="s">
        <v>741</v>
      </c>
      <c r="L5" s="1638"/>
      <c r="M5" s="1784"/>
      <c r="N5" s="1785" t="s">
        <v>570</v>
      </c>
    </row>
    <row r="6" spans="1:14" s="202" customFormat="1" ht="27" customHeight="1">
      <c r="A6" s="1782" t="s">
        <v>571</v>
      </c>
      <c r="B6" s="1786" t="s">
        <v>567</v>
      </c>
      <c r="C6" s="1633" t="s">
        <v>568</v>
      </c>
      <c r="D6" s="1787" t="s">
        <v>569</v>
      </c>
      <c r="E6" s="1633" t="s">
        <v>567</v>
      </c>
      <c r="F6" s="1633" t="s">
        <v>568</v>
      </c>
      <c r="G6" s="1633" t="s">
        <v>569</v>
      </c>
      <c r="H6" s="1633" t="s">
        <v>567</v>
      </c>
      <c r="I6" s="1633" t="s">
        <v>568</v>
      </c>
      <c r="J6" s="1633" t="s">
        <v>569</v>
      </c>
      <c r="K6" s="1633" t="s">
        <v>567</v>
      </c>
      <c r="L6" s="1633" t="s">
        <v>568</v>
      </c>
      <c r="M6" s="1788" t="s">
        <v>569</v>
      </c>
      <c r="N6" s="1785" t="s">
        <v>575</v>
      </c>
    </row>
    <row r="7" spans="1:14" s="202" customFormat="1" ht="27" customHeight="1">
      <c r="A7" s="1782"/>
      <c r="B7" s="1789" t="s">
        <v>572</v>
      </c>
      <c r="C7" s="1773" t="s">
        <v>573</v>
      </c>
      <c r="D7" s="1773" t="s">
        <v>574</v>
      </c>
      <c r="E7" s="1634" t="s">
        <v>572</v>
      </c>
      <c r="F7" s="1773" t="s">
        <v>573</v>
      </c>
      <c r="G7" s="1773" t="s">
        <v>574</v>
      </c>
      <c r="H7" s="1634" t="s">
        <v>572</v>
      </c>
      <c r="I7" s="1773" t="s">
        <v>573</v>
      </c>
      <c r="J7" s="1773" t="s">
        <v>574</v>
      </c>
      <c r="K7" s="1634" t="s">
        <v>572</v>
      </c>
      <c r="L7" s="1773" t="s">
        <v>573</v>
      </c>
      <c r="M7" s="1773" t="s">
        <v>574</v>
      </c>
      <c r="N7" s="1785"/>
    </row>
    <row r="8" spans="1:14" s="202" customFormat="1" ht="27" customHeight="1" thickBot="1">
      <c r="A8" s="1782"/>
      <c r="B8" s="1774" t="s">
        <v>1499</v>
      </c>
      <c r="C8" s="1790" t="s">
        <v>1267</v>
      </c>
      <c r="D8" s="1791" t="s">
        <v>577</v>
      </c>
      <c r="E8" s="1774" t="s">
        <v>1499</v>
      </c>
      <c r="F8" s="1790" t="s">
        <v>1267</v>
      </c>
      <c r="G8" s="1790" t="s">
        <v>577</v>
      </c>
      <c r="H8" s="1774" t="s">
        <v>1499</v>
      </c>
      <c r="I8" s="1790" t="s">
        <v>1267</v>
      </c>
      <c r="J8" s="1790" t="s">
        <v>577</v>
      </c>
      <c r="K8" s="1774" t="s">
        <v>1499</v>
      </c>
      <c r="L8" s="1790" t="s">
        <v>1267</v>
      </c>
      <c r="M8" s="1792" t="s">
        <v>577</v>
      </c>
      <c r="N8" s="1785"/>
    </row>
    <row r="9" spans="1:14" s="166" customFormat="1" ht="27" customHeight="1" thickBot="1">
      <c r="A9" s="1146" t="s">
        <v>578</v>
      </c>
      <c r="B9" s="1635">
        <f>SUM(B15+B22+B28)</f>
        <v>58500</v>
      </c>
      <c r="C9" s="1636">
        <f>(D9*1000)/B9*1000</f>
        <v>1948.7179487179487</v>
      </c>
      <c r="D9" s="1637">
        <f>SUM(D15+D22+D28)</f>
        <v>114</v>
      </c>
      <c r="E9" s="1639">
        <f>SUM(E32)</f>
        <v>2000</v>
      </c>
      <c r="F9" s="1636">
        <f>(G9*1000)/E9*1000</f>
        <v>2000</v>
      </c>
      <c r="G9" s="1640">
        <f>SUM(G32)</f>
        <v>4</v>
      </c>
      <c r="H9" s="1635">
        <f>SUM(H10+H15+H22+H28+H32)</f>
        <v>323250</v>
      </c>
      <c r="I9" s="1636">
        <f>(J9*1000)/H9*1000</f>
        <v>9147.718484145398</v>
      </c>
      <c r="J9" s="1637">
        <f>SUM(J10+J15+J22+J28+J32)</f>
        <v>2957</v>
      </c>
      <c r="K9" s="1639">
        <f>SUM(K22+K32)</f>
        <v>25000</v>
      </c>
      <c r="L9" s="1636">
        <f>(M9*1000)/K9*1000</f>
        <v>5400</v>
      </c>
      <c r="M9" s="1641">
        <f>SUM(M22+M32)</f>
        <v>135</v>
      </c>
      <c r="N9" s="1370" t="s">
        <v>579</v>
      </c>
    </row>
    <row r="10" spans="1:14" s="166" customFormat="1" ht="23.25" customHeight="1">
      <c r="A10" s="1149" t="s">
        <v>580</v>
      </c>
      <c r="B10" s="1642" t="s">
        <v>464</v>
      </c>
      <c r="C10" s="1643" t="s">
        <v>464</v>
      </c>
      <c r="D10" s="1644" t="s">
        <v>464</v>
      </c>
      <c r="E10" s="1642" t="s">
        <v>464</v>
      </c>
      <c r="F10" s="1643" t="s">
        <v>464</v>
      </c>
      <c r="G10" s="1644" t="s">
        <v>464</v>
      </c>
      <c r="H10" s="1645">
        <f>SUM(H11:H13)</f>
        <v>27000</v>
      </c>
      <c r="I10" s="1646">
        <f>(J10*1000)/H10*1000</f>
        <v>11296.296296296296</v>
      </c>
      <c r="J10" s="1647">
        <f>SUM(J11:J13)</f>
        <v>305</v>
      </c>
      <c r="K10" s="1642" t="s">
        <v>464</v>
      </c>
      <c r="L10" s="1643" t="s">
        <v>464</v>
      </c>
      <c r="M10" s="1644" t="s">
        <v>464</v>
      </c>
      <c r="N10" s="1155" t="s">
        <v>581</v>
      </c>
    </row>
    <row r="11" spans="1:14" ht="27" customHeight="1">
      <c r="A11" s="1156" t="s">
        <v>582</v>
      </c>
      <c r="B11" s="1648" t="s">
        <v>464</v>
      </c>
      <c r="C11" s="1649" t="s">
        <v>464</v>
      </c>
      <c r="D11" s="1650" t="s">
        <v>464</v>
      </c>
      <c r="E11" s="1648" t="s">
        <v>464</v>
      </c>
      <c r="F11" s="1649" t="s">
        <v>464</v>
      </c>
      <c r="G11" s="1650" t="s">
        <v>464</v>
      </c>
      <c r="H11" s="1648" t="s">
        <v>464</v>
      </c>
      <c r="I11" s="1649" t="s">
        <v>464</v>
      </c>
      <c r="J11" s="1650" t="s">
        <v>464</v>
      </c>
      <c r="K11" s="1648" t="s">
        <v>464</v>
      </c>
      <c r="L11" s="1649" t="s">
        <v>464</v>
      </c>
      <c r="M11" s="1650" t="s">
        <v>464</v>
      </c>
      <c r="N11" s="1160" t="s">
        <v>583</v>
      </c>
    </row>
    <row r="12" spans="1:14" ht="27" customHeight="1">
      <c r="A12" s="1156" t="s">
        <v>584</v>
      </c>
      <c r="B12" s="1648" t="s">
        <v>464</v>
      </c>
      <c r="C12" s="1649" t="s">
        <v>464</v>
      </c>
      <c r="D12" s="1650" t="s">
        <v>464</v>
      </c>
      <c r="E12" s="1648" t="s">
        <v>464</v>
      </c>
      <c r="F12" s="1649" t="s">
        <v>464</v>
      </c>
      <c r="G12" s="1650" t="s">
        <v>464</v>
      </c>
      <c r="H12" s="1651">
        <v>27000</v>
      </c>
      <c r="I12" s="207">
        <f>(J12*1000)/H12*1000</f>
        <v>11296.296296296296</v>
      </c>
      <c r="J12" s="1652">
        <v>305</v>
      </c>
      <c r="K12" s="1648" t="s">
        <v>464</v>
      </c>
      <c r="L12" s="1649" t="s">
        <v>464</v>
      </c>
      <c r="M12" s="1650" t="s">
        <v>464</v>
      </c>
      <c r="N12" s="1160" t="s">
        <v>584</v>
      </c>
    </row>
    <row r="13" spans="1:14" ht="27" customHeight="1">
      <c r="A13" s="1156" t="s">
        <v>585</v>
      </c>
      <c r="B13" s="1648" t="s">
        <v>464</v>
      </c>
      <c r="C13" s="1649" t="s">
        <v>464</v>
      </c>
      <c r="D13" s="1650" t="s">
        <v>464</v>
      </c>
      <c r="E13" s="1648" t="s">
        <v>464</v>
      </c>
      <c r="F13" s="1649" t="s">
        <v>464</v>
      </c>
      <c r="G13" s="1650" t="s">
        <v>464</v>
      </c>
      <c r="H13" s="1648" t="s">
        <v>464</v>
      </c>
      <c r="I13" s="1649" t="s">
        <v>464</v>
      </c>
      <c r="J13" s="1650" t="s">
        <v>464</v>
      </c>
      <c r="K13" s="1648" t="s">
        <v>464</v>
      </c>
      <c r="L13" s="1649" t="s">
        <v>464</v>
      </c>
      <c r="M13" s="1650" t="s">
        <v>464</v>
      </c>
      <c r="N13" s="1160" t="s">
        <v>585</v>
      </c>
    </row>
    <row r="14" spans="1:14" ht="27" customHeight="1">
      <c r="A14" s="1156"/>
      <c r="B14" s="1653"/>
      <c r="C14" s="207"/>
      <c r="D14" s="1654"/>
      <c r="E14" s="1653"/>
      <c r="F14" s="207"/>
      <c r="G14" s="1654"/>
      <c r="H14" s="1653"/>
      <c r="I14" s="207"/>
      <c r="J14" s="1654"/>
      <c r="K14" s="1653"/>
      <c r="L14" s="207"/>
      <c r="M14" s="1654"/>
      <c r="N14" s="1160"/>
    </row>
    <row r="15" spans="1:14" ht="27" customHeight="1">
      <c r="A15" s="1163" t="s">
        <v>588</v>
      </c>
      <c r="B15" s="1655">
        <f>SUM(B16:B20)</f>
        <v>37000</v>
      </c>
      <c r="C15" s="426">
        <f>(D15*1000)/B15*1000</f>
        <v>1864.864864864865</v>
      </c>
      <c r="D15" s="1656">
        <f>SUM(D16:D20)</f>
        <v>69</v>
      </c>
      <c r="E15" s="1648" t="s">
        <v>464</v>
      </c>
      <c r="F15" s="1649" t="s">
        <v>464</v>
      </c>
      <c r="G15" s="1650" t="s">
        <v>464</v>
      </c>
      <c r="H15" s="1655">
        <f>SUM(H16:H20)</f>
        <v>171000</v>
      </c>
      <c r="I15" s="426">
        <f>(J15*1000)/H15*1000</f>
        <v>8736.842105263158</v>
      </c>
      <c r="J15" s="1656">
        <f>SUM(J16:J20)</f>
        <v>1494</v>
      </c>
      <c r="K15" s="1648" t="s">
        <v>464</v>
      </c>
      <c r="L15" s="1649" t="s">
        <v>464</v>
      </c>
      <c r="M15" s="1650" t="s">
        <v>464</v>
      </c>
      <c r="N15" s="1167" t="s">
        <v>589</v>
      </c>
    </row>
    <row r="16" spans="1:14" ht="27" customHeight="1">
      <c r="A16" s="1156" t="s">
        <v>590</v>
      </c>
      <c r="B16" s="1651">
        <v>13000</v>
      </c>
      <c r="C16" s="207">
        <f>(D16*1000)/B16*1000</f>
        <v>1923.076923076923</v>
      </c>
      <c r="D16" s="1652">
        <v>25</v>
      </c>
      <c r="E16" s="1648" t="s">
        <v>464</v>
      </c>
      <c r="F16" s="1649" t="s">
        <v>464</v>
      </c>
      <c r="G16" s="1650" t="s">
        <v>464</v>
      </c>
      <c r="H16" s="1653">
        <v>136000</v>
      </c>
      <c r="I16" s="207">
        <f>(J16*1000)/H16*1000</f>
        <v>8455.882352941177</v>
      </c>
      <c r="J16" s="1654">
        <v>1150</v>
      </c>
      <c r="K16" s="1648" t="s">
        <v>464</v>
      </c>
      <c r="L16" s="1649" t="s">
        <v>464</v>
      </c>
      <c r="M16" s="1650" t="s">
        <v>464</v>
      </c>
      <c r="N16" s="1160" t="s">
        <v>591</v>
      </c>
    </row>
    <row r="17" spans="1:14" s="166" customFormat="1" ht="27" customHeight="1">
      <c r="A17" s="1156" t="s">
        <v>592</v>
      </c>
      <c r="B17" s="1648" t="s">
        <v>464</v>
      </c>
      <c r="C17" s="734" t="s">
        <v>464</v>
      </c>
      <c r="D17" s="1650" t="s">
        <v>464</v>
      </c>
      <c r="E17" s="1648" t="s">
        <v>464</v>
      </c>
      <c r="F17" s="1649" t="s">
        <v>464</v>
      </c>
      <c r="G17" s="1650" t="s">
        <v>464</v>
      </c>
      <c r="H17" s="1653">
        <v>3000</v>
      </c>
      <c r="I17" s="207">
        <f>(J17*1000)/H17*1000</f>
        <v>8333.333333333334</v>
      </c>
      <c r="J17" s="1654">
        <v>25</v>
      </c>
      <c r="K17" s="1648" t="s">
        <v>464</v>
      </c>
      <c r="L17" s="1649" t="s">
        <v>464</v>
      </c>
      <c r="M17" s="1650" t="s">
        <v>464</v>
      </c>
      <c r="N17" s="1160" t="s">
        <v>593</v>
      </c>
    </row>
    <row r="18" spans="1:14" ht="27" customHeight="1">
      <c r="A18" s="1156" t="s">
        <v>594</v>
      </c>
      <c r="B18" s="1651">
        <v>3000</v>
      </c>
      <c r="C18" s="207">
        <f>(D18*1000)/B18*1000</f>
        <v>1666.6666666666667</v>
      </c>
      <c r="D18" s="1652">
        <v>5</v>
      </c>
      <c r="E18" s="1648" t="s">
        <v>464</v>
      </c>
      <c r="F18" s="1649" t="s">
        <v>464</v>
      </c>
      <c r="G18" s="1650" t="s">
        <v>464</v>
      </c>
      <c r="H18" s="1651">
        <v>12000</v>
      </c>
      <c r="I18" s="207">
        <f>(J18*1000)/H18*1000</f>
        <v>10333.333333333334</v>
      </c>
      <c r="J18" s="1652">
        <v>124</v>
      </c>
      <c r="K18" s="1648" t="s">
        <v>464</v>
      </c>
      <c r="L18" s="1649" t="s">
        <v>464</v>
      </c>
      <c r="M18" s="1650" t="s">
        <v>464</v>
      </c>
      <c r="N18" s="1160" t="s">
        <v>594</v>
      </c>
    </row>
    <row r="19" spans="1:14" ht="27" customHeight="1">
      <c r="A19" s="1156" t="s">
        <v>599</v>
      </c>
      <c r="B19" s="1653">
        <v>21000</v>
      </c>
      <c r="C19" s="207">
        <f>(D19*1000)/B19*1000</f>
        <v>1857.142857142857</v>
      </c>
      <c r="D19" s="1654">
        <v>39</v>
      </c>
      <c r="E19" s="1648" t="s">
        <v>464</v>
      </c>
      <c r="F19" s="1649" t="s">
        <v>464</v>
      </c>
      <c r="G19" s="1650" t="s">
        <v>464</v>
      </c>
      <c r="H19" s="1653">
        <v>20000</v>
      </c>
      <c r="I19" s="207">
        <f>(J19*1000)/H19*1000</f>
        <v>9750</v>
      </c>
      <c r="J19" s="1654">
        <v>195</v>
      </c>
      <c r="K19" s="1648" t="s">
        <v>464</v>
      </c>
      <c r="L19" s="1649" t="s">
        <v>464</v>
      </c>
      <c r="M19" s="1650" t="s">
        <v>464</v>
      </c>
      <c r="N19" s="1160" t="s">
        <v>599</v>
      </c>
    </row>
    <row r="20" spans="1:14" ht="27" customHeight="1">
      <c r="A20" s="1156" t="s">
        <v>598</v>
      </c>
      <c r="B20" s="1648" t="s">
        <v>464</v>
      </c>
      <c r="C20" s="1649" t="s">
        <v>464</v>
      </c>
      <c r="D20" s="1650" t="s">
        <v>464</v>
      </c>
      <c r="E20" s="1648" t="s">
        <v>464</v>
      </c>
      <c r="F20" s="1649" t="s">
        <v>464</v>
      </c>
      <c r="G20" s="1650" t="s">
        <v>464</v>
      </c>
      <c r="H20" s="1648" t="s">
        <v>464</v>
      </c>
      <c r="I20" s="734" t="s">
        <v>464</v>
      </c>
      <c r="J20" s="1650" t="s">
        <v>464</v>
      </c>
      <c r="K20" s="1648" t="s">
        <v>464</v>
      </c>
      <c r="L20" s="1649" t="s">
        <v>464</v>
      </c>
      <c r="M20" s="1650" t="s">
        <v>464</v>
      </c>
      <c r="N20" s="1160" t="s">
        <v>598</v>
      </c>
    </row>
    <row r="21" spans="1:14" ht="27" customHeight="1">
      <c r="A21" s="1169"/>
      <c r="B21" s="1657"/>
      <c r="C21" s="1658"/>
      <c r="D21" s="1659"/>
      <c r="E21" s="1657"/>
      <c r="F21" s="1658"/>
      <c r="G21" s="1659"/>
      <c r="H21" s="1657"/>
      <c r="I21" s="1658"/>
      <c r="J21" s="1659"/>
      <c r="K21" s="1657"/>
      <c r="L21" s="1658"/>
      <c r="M21" s="1659"/>
      <c r="N21" s="1160"/>
    </row>
    <row r="22" spans="1:14" ht="27" customHeight="1">
      <c r="A22" s="1163" t="s">
        <v>601</v>
      </c>
      <c r="B22" s="1655">
        <f>SUM(B23:B26)</f>
        <v>20500</v>
      </c>
      <c r="C22" s="426">
        <f>(D22*1000)/B22*1000</f>
        <v>2097.560975609756</v>
      </c>
      <c r="D22" s="1656">
        <f>SUM(D23:D26)</f>
        <v>43</v>
      </c>
      <c r="E22" s="1648" t="s">
        <v>464</v>
      </c>
      <c r="F22" s="1649" t="s">
        <v>464</v>
      </c>
      <c r="G22" s="1650" t="s">
        <v>464</v>
      </c>
      <c r="H22" s="1655">
        <f>SUM(H23:H26)</f>
        <v>42400</v>
      </c>
      <c r="I22" s="426">
        <f>(J22*1000)/H22*1000</f>
        <v>11485.849056603774</v>
      </c>
      <c r="J22" s="1656">
        <f>SUM(J23:J26)</f>
        <v>487</v>
      </c>
      <c r="K22" s="1648">
        <f>SUM(K23:K26)</f>
        <v>22000</v>
      </c>
      <c r="L22" s="426">
        <f>(M22*1000)/K22*1000</f>
        <v>5363.636363636363</v>
      </c>
      <c r="M22" s="1650">
        <f>SUM(M23:M26)</f>
        <v>118</v>
      </c>
      <c r="N22" s="1167" t="s">
        <v>602</v>
      </c>
    </row>
    <row r="23" spans="1:14" ht="27" customHeight="1">
      <c r="A23" s="1156" t="s">
        <v>603</v>
      </c>
      <c r="B23" s="1648" t="s">
        <v>464</v>
      </c>
      <c r="C23" s="1649" t="s">
        <v>464</v>
      </c>
      <c r="D23" s="1650" t="s">
        <v>464</v>
      </c>
      <c r="E23" s="1648" t="s">
        <v>464</v>
      </c>
      <c r="F23" s="1649" t="s">
        <v>464</v>
      </c>
      <c r="G23" s="1650" t="s">
        <v>464</v>
      </c>
      <c r="H23" s="1651">
        <v>1000</v>
      </c>
      <c r="I23" s="207">
        <f>(J23*1000)/H23*1000</f>
        <v>8000</v>
      </c>
      <c r="J23" s="1652">
        <v>8</v>
      </c>
      <c r="K23" s="1651">
        <v>9000</v>
      </c>
      <c r="L23" s="207">
        <f>(M23*1000)/K23*1000</f>
        <v>5444.444444444444</v>
      </c>
      <c r="M23" s="1652">
        <v>49</v>
      </c>
      <c r="N23" s="1160" t="s">
        <v>604</v>
      </c>
    </row>
    <row r="24" spans="1:14" ht="27" customHeight="1">
      <c r="A24" s="1156" t="s">
        <v>605</v>
      </c>
      <c r="B24" s="1653">
        <v>18500</v>
      </c>
      <c r="C24" s="207">
        <f>(D24*1000)/B24*1000</f>
        <v>2054.0540540540537</v>
      </c>
      <c r="D24" s="1654">
        <v>38</v>
      </c>
      <c r="E24" s="1648" t="s">
        <v>464</v>
      </c>
      <c r="F24" s="1649" t="s">
        <v>464</v>
      </c>
      <c r="G24" s="1650" t="s">
        <v>464</v>
      </c>
      <c r="H24" s="1653">
        <v>34000</v>
      </c>
      <c r="I24" s="207">
        <f>(J24*1000)/H24*1000</f>
        <v>12264.705882352942</v>
      </c>
      <c r="J24" s="1654">
        <v>417</v>
      </c>
      <c r="K24" s="1651">
        <v>6000</v>
      </c>
      <c r="L24" s="207">
        <f>(M24*1000)/K24*1000</f>
        <v>5333.333333333333</v>
      </c>
      <c r="M24" s="1652">
        <v>32</v>
      </c>
      <c r="N24" s="1160" t="s">
        <v>606</v>
      </c>
    </row>
    <row r="25" spans="1:14" ht="27" customHeight="1">
      <c r="A25" s="1156" t="s">
        <v>607</v>
      </c>
      <c r="B25" s="1648" t="s">
        <v>464</v>
      </c>
      <c r="C25" s="1649" t="s">
        <v>464</v>
      </c>
      <c r="D25" s="1650" t="s">
        <v>464</v>
      </c>
      <c r="E25" s="1648" t="s">
        <v>464</v>
      </c>
      <c r="F25" s="1649" t="s">
        <v>464</v>
      </c>
      <c r="G25" s="1650" t="s">
        <v>464</v>
      </c>
      <c r="H25" s="1648" t="s">
        <v>464</v>
      </c>
      <c r="I25" s="734" t="s">
        <v>464</v>
      </c>
      <c r="J25" s="1650" t="s">
        <v>464</v>
      </c>
      <c r="K25" s="1648" t="s">
        <v>464</v>
      </c>
      <c r="L25" s="1649" t="s">
        <v>464</v>
      </c>
      <c r="M25" s="1650" t="s">
        <v>464</v>
      </c>
      <c r="N25" s="1160" t="s">
        <v>607</v>
      </c>
    </row>
    <row r="26" spans="1:14" ht="27" customHeight="1">
      <c r="A26" s="1156" t="s">
        <v>608</v>
      </c>
      <c r="B26" s="1651">
        <v>2000</v>
      </c>
      <c r="C26" s="207">
        <f>(D26*1000)/B26*1000</f>
        <v>2500</v>
      </c>
      <c r="D26" s="1652">
        <v>5</v>
      </c>
      <c r="E26" s="1648" t="s">
        <v>464</v>
      </c>
      <c r="F26" s="1649" t="s">
        <v>464</v>
      </c>
      <c r="G26" s="1650" t="s">
        <v>464</v>
      </c>
      <c r="H26" s="1653">
        <v>7400</v>
      </c>
      <c r="I26" s="207">
        <f>(J26*1000)/H26*1000</f>
        <v>8378.378378378378</v>
      </c>
      <c r="J26" s="1654">
        <v>62</v>
      </c>
      <c r="K26" s="1651">
        <v>7000</v>
      </c>
      <c r="L26" s="207">
        <f>(M26*1000)/K26*1000</f>
        <v>5285.714285714285</v>
      </c>
      <c r="M26" s="1652">
        <v>37</v>
      </c>
      <c r="N26" s="1160" t="s">
        <v>608</v>
      </c>
    </row>
    <row r="27" spans="1:14" s="166" customFormat="1" ht="27" customHeight="1">
      <c r="A27" s="1174"/>
      <c r="B27" s="1660"/>
      <c r="C27" s="1661"/>
      <c r="D27" s="1662"/>
      <c r="E27" s="1660"/>
      <c r="F27" s="1661"/>
      <c r="G27" s="1662"/>
      <c r="H27" s="1660"/>
      <c r="I27" s="1661"/>
      <c r="J27" s="1662"/>
      <c r="K27" s="1660"/>
      <c r="L27" s="1661"/>
      <c r="M27" s="1662"/>
      <c r="N27" s="1178"/>
    </row>
    <row r="28" spans="1:14" ht="27" customHeight="1">
      <c r="A28" s="1174" t="s">
        <v>1286</v>
      </c>
      <c r="B28" s="1660">
        <f>SUM(B29:B30)</f>
        <v>1000</v>
      </c>
      <c r="C28" s="426">
        <f>(D28*1000)/B28*1000</f>
        <v>2000</v>
      </c>
      <c r="D28" s="1662">
        <f>SUM(D29:D30)</f>
        <v>2</v>
      </c>
      <c r="E28" s="1648" t="s">
        <v>464</v>
      </c>
      <c r="F28" s="1649" t="s">
        <v>464</v>
      </c>
      <c r="G28" s="1650" t="s">
        <v>464</v>
      </c>
      <c r="H28" s="1655">
        <f>SUM(H29:H30)</f>
        <v>67250</v>
      </c>
      <c r="I28" s="426">
        <f>(J28*1000)/H28*1000</f>
        <v>8401.486988847584</v>
      </c>
      <c r="J28" s="1662">
        <f>SUM(J29:J30)</f>
        <v>565</v>
      </c>
      <c r="K28" s="1648" t="s">
        <v>464</v>
      </c>
      <c r="L28" s="1649" t="s">
        <v>464</v>
      </c>
      <c r="M28" s="1650" t="s">
        <v>464</v>
      </c>
      <c r="N28" s="1167" t="s">
        <v>1286</v>
      </c>
    </row>
    <row r="29" spans="1:14" ht="27" customHeight="1">
      <c r="A29" s="1169" t="s">
        <v>586</v>
      </c>
      <c r="B29" s="1653">
        <v>1000</v>
      </c>
      <c r="C29" s="207">
        <f>(D29*1000)/B29*1000</f>
        <v>2000</v>
      </c>
      <c r="D29" s="1659">
        <v>2</v>
      </c>
      <c r="E29" s="1648" t="s">
        <v>464</v>
      </c>
      <c r="F29" s="1649" t="s">
        <v>464</v>
      </c>
      <c r="G29" s="1650" t="s">
        <v>464</v>
      </c>
      <c r="H29" s="1653">
        <v>65250</v>
      </c>
      <c r="I29" s="207">
        <f>(J29*1000)/H29*1000</f>
        <v>8429.11877394636</v>
      </c>
      <c r="J29" s="1659">
        <v>550</v>
      </c>
      <c r="K29" s="1648" t="s">
        <v>464</v>
      </c>
      <c r="L29" s="1649" t="s">
        <v>464</v>
      </c>
      <c r="M29" s="1650" t="s">
        <v>464</v>
      </c>
      <c r="N29" s="1160" t="s">
        <v>586</v>
      </c>
    </row>
    <row r="30" spans="1:14" ht="27" customHeight="1">
      <c r="A30" s="1169" t="s">
        <v>587</v>
      </c>
      <c r="B30" s="1648" t="s">
        <v>464</v>
      </c>
      <c r="C30" s="1649" t="s">
        <v>464</v>
      </c>
      <c r="D30" s="1650" t="s">
        <v>464</v>
      </c>
      <c r="E30" s="1648" t="s">
        <v>464</v>
      </c>
      <c r="F30" s="1649" t="s">
        <v>464</v>
      </c>
      <c r="G30" s="1650" t="s">
        <v>464</v>
      </c>
      <c r="H30" s="1651">
        <v>2000</v>
      </c>
      <c r="I30" s="207">
        <f>(J30*1000)/H30*1000</f>
        <v>7500</v>
      </c>
      <c r="J30" s="1652">
        <v>15</v>
      </c>
      <c r="K30" s="1648" t="s">
        <v>464</v>
      </c>
      <c r="L30" s="1649" t="s">
        <v>464</v>
      </c>
      <c r="M30" s="1650" t="s">
        <v>464</v>
      </c>
      <c r="N30" s="1160" t="s">
        <v>587</v>
      </c>
    </row>
    <row r="31" spans="1:14" ht="27" customHeight="1">
      <c r="A31" s="1169"/>
      <c r="B31" s="1657"/>
      <c r="C31" s="1658"/>
      <c r="D31" s="1659"/>
      <c r="E31" s="1657"/>
      <c r="F31" s="1658"/>
      <c r="G31" s="1659"/>
      <c r="H31" s="1657"/>
      <c r="I31" s="1658"/>
      <c r="J31" s="1659"/>
      <c r="K31" s="1657"/>
      <c r="L31" s="1658"/>
      <c r="M31" s="1659"/>
      <c r="N31" s="1160"/>
    </row>
    <row r="32" spans="1:14" ht="27" customHeight="1">
      <c r="A32" s="1174" t="s">
        <v>1287</v>
      </c>
      <c r="B32" s="1648" t="s">
        <v>464</v>
      </c>
      <c r="C32" s="1649" t="s">
        <v>464</v>
      </c>
      <c r="D32" s="1650" t="s">
        <v>464</v>
      </c>
      <c r="E32" s="1660">
        <f>SUM(E33:E35)</f>
        <v>2000</v>
      </c>
      <c r="F32" s="426">
        <f>(G32*1000)/E32*1000</f>
        <v>2000</v>
      </c>
      <c r="G32" s="1662">
        <f>SUM(G33:G35)</f>
        <v>4</v>
      </c>
      <c r="H32" s="1655">
        <f>SUM(H33:H35)</f>
        <v>15600</v>
      </c>
      <c r="I32" s="426">
        <f>(J32*1000)/H32*1000</f>
        <v>6794.871794871795</v>
      </c>
      <c r="J32" s="1662">
        <f>SUM(J33:J35)</f>
        <v>106</v>
      </c>
      <c r="K32" s="1648">
        <f>SUM(K33:K35)</f>
        <v>3000</v>
      </c>
      <c r="L32" s="426">
        <f>(M32*1000)/K32*1000</f>
        <v>5666.666666666667</v>
      </c>
      <c r="M32" s="1650">
        <f>SUM(M33:M35)</f>
        <v>17</v>
      </c>
      <c r="N32" s="1167" t="s">
        <v>1287</v>
      </c>
    </row>
    <row r="33" spans="1:14" ht="27" customHeight="1">
      <c r="A33" s="1169" t="s">
        <v>1273</v>
      </c>
      <c r="B33" s="1648" t="s">
        <v>464</v>
      </c>
      <c r="C33" s="1649" t="s">
        <v>464</v>
      </c>
      <c r="D33" s="1650" t="s">
        <v>464</v>
      </c>
      <c r="E33" s="1651">
        <v>2000</v>
      </c>
      <c r="F33" s="207">
        <f>(G33*1000)/E33*1000</f>
        <v>2000</v>
      </c>
      <c r="G33" s="1652">
        <v>4</v>
      </c>
      <c r="H33" s="1657">
        <v>600</v>
      </c>
      <c r="I33" s="207">
        <f>(J33*1000)/H33*1000</f>
        <v>6666.666666666667</v>
      </c>
      <c r="J33" s="1659">
        <v>4</v>
      </c>
      <c r="K33" s="1651">
        <v>3000</v>
      </c>
      <c r="L33" s="207">
        <f>(M33*1000)/K33*1000</f>
        <v>5666.666666666667</v>
      </c>
      <c r="M33" s="1652">
        <v>17</v>
      </c>
      <c r="N33" s="1160" t="s">
        <v>1273</v>
      </c>
    </row>
    <row r="34" spans="1:14" ht="27" customHeight="1">
      <c r="A34" s="1169" t="s">
        <v>596</v>
      </c>
      <c r="B34" s="1648" t="s">
        <v>464</v>
      </c>
      <c r="C34" s="1649" t="s">
        <v>464</v>
      </c>
      <c r="D34" s="1650" t="s">
        <v>464</v>
      </c>
      <c r="E34" s="1648" t="s">
        <v>464</v>
      </c>
      <c r="F34" s="1649" t="s">
        <v>464</v>
      </c>
      <c r="G34" s="1650" t="s">
        <v>464</v>
      </c>
      <c r="H34" s="1648" t="s">
        <v>464</v>
      </c>
      <c r="I34" s="1649" t="s">
        <v>464</v>
      </c>
      <c r="J34" s="1650" t="s">
        <v>464</v>
      </c>
      <c r="K34" s="1648" t="s">
        <v>464</v>
      </c>
      <c r="L34" s="1649" t="s">
        <v>464</v>
      </c>
      <c r="M34" s="1650" t="s">
        <v>464</v>
      </c>
      <c r="N34" s="1160" t="s">
        <v>596</v>
      </c>
    </row>
    <row r="35" spans="1:14" ht="27" customHeight="1" thickBot="1">
      <c r="A35" s="1180" t="s">
        <v>595</v>
      </c>
      <c r="B35" s="1663" t="s">
        <v>464</v>
      </c>
      <c r="C35" s="1664" t="s">
        <v>464</v>
      </c>
      <c r="D35" s="1665" t="s">
        <v>464</v>
      </c>
      <c r="E35" s="1663" t="s">
        <v>464</v>
      </c>
      <c r="F35" s="1664" t="s">
        <v>464</v>
      </c>
      <c r="G35" s="1665" t="s">
        <v>464</v>
      </c>
      <c r="H35" s="1666">
        <v>15000</v>
      </c>
      <c r="I35" s="210">
        <f>(J35*1000)/H35*1000</f>
        <v>6800</v>
      </c>
      <c r="J35" s="1667">
        <v>102</v>
      </c>
      <c r="K35" s="1663" t="s">
        <v>464</v>
      </c>
      <c r="L35" s="1664" t="s">
        <v>464</v>
      </c>
      <c r="M35" s="1665" t="s">
        <v>464</v>
      </c>
      <c r="N35" s="1186" t="s">
        <v>595</v>
      </c>
    </row>
    <row r="36" spans="1:14" ht="27" customHeight="1" thickBot="1">
      <c r="A36" s="221"/>
      <c r="B36" s="1371"/>
      <c r="C36" s="1371"/>
      <c r="D36" s="1372"/>
      <c r="E36" s="1371"/>
      <c r="F36" s="1371"/>
      <c r="G36" s="1371"/>
      <c r="H36" s="1371"/>
      <c r="I36" s="1371"/>
      <c r="J36" s="1371"/>
      <c r="K36" s="1371"/>
      <c r="L36" s="1371"/>
      <c r="M36" s="1371"/>
      <c r="N36" s="222"/>
    </row>
    <row r="37" spans="1:14" s="202" customFormat="1" ht="27" customHeight="1" thickBot="1">
      <c r="A37" s="415"/>
      <c r="B37" s="2886" t="s">
        <v>524</v>
      </c>
      <c r="C37" s="2887"/>
      <c r="D37" s="2887"/>
      <c r="E37" s="2887"/>
      <c r="F37" s="2887"/>
      <c r="G37" s="2888"/>
      <c r="H37" s="2886" t="s">
        <v>525</v>
      </c>
      <c r="I37" s="2887"/>
      <c r="J37" s="2887"/>
      <c r="K37" s="2887"/>
      <c r="L37" s="2887"/>
      <c r="M37" s="2888"/>
      <c r="N37" s="1781"/>
    </row>
    <row r="38" spans="1:14" s="202" customFormat="1" ht="27" customHeight="1" thickBot="1">
      <c r="A38" s="1782" t="s">
        <v>566</v>
      </c>
      <c r="B38" s="1638" t="s">
        <v>523</v>
      </c>
      <c r="C38" s="1638"/>
      <c r="D38" s="1783"/>
      <c r="E38" s="1635" t="s">
        <v>741</v>
      </c>
      <c r="F38" s="1638"/>
      <c r="G38" s="1637"/>
      <c r="H38" s="1635" t="s">
        <v>742</v>
      </c>
      <c r="I38" s="1638"/>
      <c r="J38" s="1637"/>
      <c r="K38" s="1635" t="s">
        <v>741</v>
      </c>
      <c r="L38" s="1638"/>
      <c r="M38" s="1784"/>
      <c r="N38" s="1785" t="s">
        <v>570</v>
      </c>
    </row>
    <row r="39" spans="1:14" s="202" customFormat="1" ht="27" customHeight="1">
      <c r="A39" s="1782" t="s">
        <v>571</v>
      </c>
      <c r="B39" s="1786" t="s">
        <v>567</v>
      </c>
      <c r="C39" s="1633" t="s">
        <v>568</v>
      </c>
      <c r="D39" s="1787" t="s">
        <v>569</v>
      </c>
      <c r="E39" s="1633" t="s">
        <v>567</v>
      </c>
      <c r="F39" s="1633" t="s">
        <v>568</v>
      </c>
      <c r="G39" s="1633" t="s">
        <v>569</v>
      </c>
      <c r="H39" s="1633" t="s">
        <v>567</v>
      </c>
      <c r="I39" s="1633" t="s">
        <v>568</v>
      </c>
      <c r="J39" s="1633" t="s">
        <v>569</v>
      </c>
      <c r="K39" s="1633" t="s">
        <v>567</v>
      </c>
      <c r="L39" s="1633" t="s">
        <v>568</v>
      </c>
      <c r="M39" s="1788" t="s">
        <v>569</v>
      </c>
      <c r="N39" s="1785" t="s">
        <v>575</v>
      </c>
    </row>
    <row r="40" spans="1:14" s="202" customFormat="1" ht="27" customHeight="1">
      <c r="A40" s="1782"/>
      <c r="B40" s="1789" t="s">
        <v>572</v>
      </c>
      <c r="C40" s="1773" t="s">
        <v>573</v>
      </c>
      <c r="D40" s="1773" t="s">
        <v>574</v>
      </c>
      <c r="E40" s="1634" t="s">
        <v>572</v>
      </c>
      <c r="F40" s="1773" t="s">
        <v>573</v>
      </c>
      <c r="G40" s="1773" t="s">
        <v>574</v>
      </c>
      <c r="H40" s="1634" t="s">
        <v>572</v>
      </c>
      <c r="I40" s="1773" t="s">
        <v>573</v>
      </c>
      <c r="J40" s="1773" t="s">
        <v>574</v>
      </c>
      <c r="K40" s="1634" t="s">
        <v>572</v>
      </c>
      <c r="L40" s="1773" t="s">
        <v>573</v>
      </c>
      <c r="M40" s="1773" t="s">
        <v>574</v>
      </c>
      <c r="N40" s="1785"/>
    </row>
    <row r="41" spans="1:14" s="202" customFormat="1" ht="27" customHeight="1" thickBot="1">
      <c r="A41" s="1782"/>
      <c r="B41" s="1774" t="s">
        <v>1499</v>
      </c>
      <c r="C41" s="1790" t="s">
        <v>1267</v>
      </c>
      <c r="D41" s="1791" t="s">
        <v>577</v>
      </c>
      <c r="E41" s="1774" t="s">
        <v>1499</v>
      </c>
      <c r="F41" s="1790" t="s">
        <v>1267</v>
      </c>
      <c r="G41" s="1790" t="s">
        <v>577</v>
      </c>
      <c r="H41" s="1774" t="s">
        <v>1499</v>
      </c>
      <c r="I41" s="1790" t="s">
        <v>1267</v>
      </c>
      <c r="J41" s="1790" t="s">
        <v>577</v>
      </c>
      <c r="K41" s="1774" t="s">
        <v>1499</v>
      </c>
      <c r="L41" s="1790" t="s">
        <v>1267</v>
      </c>
      <c r="M41" s="1792" t="s">
        <v>577</v>
      </c>
      <c r="N41" s="1785"/>
    </row>
    <row r="42" spans="1:14" s="166" customFormat="1" ht="27" customHeight="1" thickBot="1">
      <c r="A42" s="1373" t="s">
        <v>578</v>
      </c>
      <c r="B42" s="1639" t="s">
        <v>464</v>
      </c>
      <c r="C42" s="1640" t="s">
        <v>464</v>
      </c>
      <c r="D42" s="1641" t="s">
        <v>464</v>
      </c>
      <c r="E42" s="205">
        <f>SUM(E48+E55+E65)</f>
        <v>70000</v>
      </c>
      <c r="F42" s="1646">
        <f>(G42*1000)/E42*1000</f>
        <v>3985.714285714286</v>
      </c>
      <c r="G42" s="1668">
        <f>SUM(G48+G55+G65)</f>
        <v>279</v>
      </c>
      <c r="H42" s="1639" t="s">
        <v>464</v>
      </c>
      <c r="I42" s="1640" t="s">
        <v>464</v>
      </c>
      <c r="J42" s="1641" t="s">
        <v>464</v>
      </c>
      <c r="K42" s="1635">
        <f>SUM(K48+K55+K65)</f>
        <v>226000</v>
      </c>
      <c r="L42" s="1636">
        <f>(M42*1000)/K42*1000</f>
        <v>6305.309734513275</v>
      </c>
      <c r="M42" s="1637">
        <f>SUM(M48+M55+M65)</f>
        <v>1425</v>
      </c>
      <c r="N42" s="1374" t="s">
        <v>579</v>
      </c>
    </row>
    <row r="43" spans="1:14" s="166" customFormat="1" ht="27" customHeight="1">
      <c r="A43" s="1149" t="s">
        <v>580</v>
      </c>
      <c r="B43" s="1648" t="s">
        <v>464</v>
      </c>
      <c r="C43" s="1649" t="s">
        <v>464</v>
      </c>
      <c r="D43" s="1650" t="s">
        <v>464</v>
      </c>
      <c r="E43" s="1642" t="s">
        <v>464</v>
      </c>
      <c r="F43" s="1643" t="s">
        <v>464</v>
      </c>
      <c r="G43" s="1644" t="s">
        <v>464</v>
      </c>
      <c r="H43" s="1642" t="s">
        <v>464</v>
      </c>
      <c r="I43" s="1643" t="s">
        <v>464</v>
      </c>
      <c r="J43" s="1644" t="s">
        <v>464</v>
      </c>
      <c r="K43" s="1648" t="s">
        <v>464</v>
      </c>
      <c r="L43" s="1649" t="s">
        <v>464</v>
      </c>
      <c r="M43" s="1650" t="s">
        <v>464</v>
      </c>
      <c r="N43" s="1155" t="s">
        <v>581</v>
      </c>
    </row>
    <row r="44" spans="1:14" ht="27" customHeight="1">
      <c r="A44" s="1156" t="s">
        <v>582</v>
      </c>
      <c r="B44" s="1648" t="s">
        <v>464</v>
      </c>
      <c r="C44" s="1649" t="s">
        <v>464</v>
      </c>
      <c r="D44" s="1650" t="s">
        <v>464</v>
      </c>
      <c r="E44" s="1648" t="s">
        <v>464</v>
      </c>
      <c r="F44" s="1649" t="s">
        <v>464</v>
      </c>
      <c r="G44" s="1650" t="s">
        <v>464</v>
      </c>
      <c r="H44" s="1648" t="s">
        <v>464</v>
      </c>
      <c r="I44" s="1649" t="s">
        <v>464</v>
      </c>
      <c r="J44" s="1650" t="s">
        <v>464</v>
      </c>
      <c r="K44" s="1648" t="s">
        <v>464</v>
      </c>
      <c r="L44" s="1649" t="s">
        <v>464</v>
      </c>
      <c r="M44" s="1650" t="s">
        <v>464</v>
      </c>
      <c r="N44" s="1160" t="s">
        <v>583</v>
      </c>
    </row>
    <row r="45" spans="1:14" ht="27" customHeight="1">
      <c r="A45" s="1156" t="s">
        <v>584</v>
      </c>
      <c r="B45" s="1648" t="s">
        <v>464</v>
      </c>
      <c r="C45" s="1649" t="s">
        <v>464</v>
      </c>
      <c r="D45" s="1650" t="s">
        <v>464</v>
      </c>
      <c r="E45" s="1648" t="s">
        <v>464</v>
      </c>
      <c r="F45" s="1649" t="s">
        <v>464</v>
      </c>
      <c r="G45" s="1650" t="s">
        <v>464</v>
      </c>
      <c r="H45" s="1648" t="s">
        <v>464</v>
      </c>
      <c r="I45" s="1649" t="s">
        <v>464</v>
      </c>
      <c r="J45" s="1650" t="s">
        <v>464</v>
      </c>
      <c r="K45" s="1648" t="s">
        <v>464</v>
      </c>
      <c r="L45" s="1649" t="s">
        <v>464</v>
      </c>
      <c r="M45" s="1650" t="s">
        <v>464</v>
      </c>
      <c r="N45" s="1160" t="s">
        <v>584</v>
      </c>
    </row>
    <row r="46" spans="1:14" ht="27" customHeight="1">
      <c r="A46" s="1156" t="s">
        <v>585</v>
      </c>
      <c r="B46" s="1648" t="s">
        <v>464</v>
      </c>
      <c r="C46" s="1649" t="s">
        <v>464</v>
      </c>
      <c r="D46" s="1650" t="s">
        <v>464</v>
      </c>
      <c r="E46" s="1648" t="s">
        <v>464</v>
      </c>
      <c r="F46" s="1649" t="s">
        <v>464</v>
      </c>
      <c r="G46" s="1650" t="s">
        <v>464</v>
      </c>
      <c r="H46" s="1648" t="s">
        <v>464</v>
      </c>
      <c r="I46" s="1649" t="s">
        <v>464</v>
      </c>
      <c r="J46" s="1650" t="s">
        <v>464</v>
      </c>
      <c r="K46" s="1648" t="s">
        <v>464</v>
      </c>
      <c r="L46" s="1649" t="s">
        <v>464</v>
      </c>
      <c r="M46" s="1650" t="s">
        <v>464</v>
      </c>
      <c r="N46" s="1160" t="s">
        <v>585</v>
      </c>
    </row>
    <row r="47" spans="1:14" ht="27" customHeight="1">
      <c r="A47" s="1156"/>
      <c r="B47" s="1653"/>
      <c r="C47" s="207"/>
      <c r="D47" s="1654"/>
      <c r="E47" s="1653"/>
      <c r="F47" s="207"/>
      <c r="G47" s="1654"/>
      <c r="H47" s="1653"/>
      <c r="I47" s="207"/>
      <c r="J47" s="1654"/>
      <c r="K47" s="1653"/>
      <c r="L47" s="207"/>
      <c r="M47" s="1654"/>
      <c r="N47" s="1160"/>
    </row>
    <row r="48" spans="1:14" ht="27" customHeight="1">
      <c r="A48" s="1163" t="s">
        <v>588</v>
      </c>
      <c r="B48" s="1648" t="s">
        <v>464</v>
      </c>
      <c r="C48" s="1649" t="s">
        <v>464</v>
      </c>
      <c r="D48" s="1650" t="s">
        <v>464</v>
      </c>
      <c r="E48" s="1655">
        <f>SUM(E49:E53)</f>
        <v>47000</v>
      </c>
      <c r="F48" s="426">
        <f>(G48*1000)/E48*1000</f>
        <v>4276.595744680851</v>
      </c>
      <c r="G48" s="1656">
        <f>SUM(G49:G53)</f>
        <v>201</v>
      </c>
      <c r="H48" s="1648" t="s">
        <v>464</v>
      </c>
      <c r="I48" s="1649" t="s">
        <v>464</v>
      </c>
      <c r="J48" s="1650" t="s">
        <v>464</v>
      </c>
      <c r="K48" s="1655">
        <f>SUM(K49:K53)</f>
        <v>210000</v>
      </c>
      <c r="L48" s="426">
        <f>(M48*1000)/K48*1000</f>
        <v>6380.952380952382</v>
      </c>
      <c r="M48" s="1656">
        <f>SUM(M49:M53)</f>
        <v>1340</v>
      </c>
      <c r="N48" s="1167" t="s">
        <v>589</v>
      </c>
    </row>
    <row r="49" spans="1:14" ht="27" customHeight="1">
      <c r="A49" s="1156" t="s">
        <v>590</v>
      </c>
      <c r="B49" s="1648" t="s">
        <v>464</v>
      </c>
      <c r="C49" s="1649" t="s">
        <v>464</v>
      </c>
      <c r="D49" s="1650" t="s">
        <v>464</v>
      </c>
      <c r="E49" s="1651">
        <v>17000</v>
      </c>
      <c r="F49" s="207">
        <f>(G49*1000)/E49*1000</f>
        <v>4470.588235294118</v>
      </c>
      <c r="G49" s="1652">
        <v>76</v>
      </c>
      <c r="H49" s="1648" t="s">
        <v>464</v>
      </c>
      <c r="I49" s="1649" t="s">
        <v>464</v>
      </c>
      <c r="J49" s="1650" t="s">
        <v>464</v>
      </c>
      <c r="K49" s="2016">
        <v>100000</v>
      </c>
      <c r="L49" s="462">
        <f>(M49*1000)/K49*1000</f>
        <v>6600</v>
      </c>
      <c r="M49" s="2407">
        <v>660</v>
      </c>
      <c r="N49" s="1160" t="s">
        <v>591</v>
      </c>
    </row>
    <row r="50" spans="1:14" s="166" customFormat="1" ht="27" customHeight="1">
      <c r="A50" s="1156" t="s">
        <v>592</v>
      </c>
      <c r="B50" s="1648" t="s">
        <v>464</v>
      </c>
      <c r="C50" s="1649" t="s">
        <v>464</v>
      </c>
      <c r="D50" s="1650" t="s">
        <v>464</v>
      </c>
      <c r="E50" s="1648" t="s">
        <v>464</v>
      </c>
      <c r="F50" s="1649" t="s">
        <v>464</v>
      </c>
      <c r="G50" s="1650" t="s">
        <v>464</v>
      </c>
      <c r="H50" s="1648" t="s">
        <v>464</v>
      </c>
      <c r="I50" s="1649" t="s">
        <v>464</v>
      </c>
      <c r="J50" s="1650" t="s">
        <v>464</v>
      </c>
      <c r="K50" s="1648" t="s">
        <v>464</v>
      </c>
      <c r="L50" s="1649" t="s">
        <v>464</v>
      </c>
      <c r="M50" s="1650" t="s">
        <v>464</v>
      </c>
      <c r="N50" s="1160" t="s">
        <v>593</v>
      </c>
    </row>
    <row r="51" spans="1:14" ht="27" customHeight="1">
      <c r="A51" s="1156" t="s">
        <v>594</v>
      </c>
      <c r="B51" s="1648" t="s">
        <v>464</v>
      </c>
      <c r="C51" s="1649" t="s">
        <v>464</v>
      </c>
      <c r="D51" s="1650" t="s">
        <v>464</v>
      </c>
      <c r="E51" s="1653">
        <v>30000</v>
      </c>
      <c r="F51" s="207">
        <f>(G51*1000)/E51*1000</f>
        <v>4166.666666666667</v>
      </c>
      <c r="G51" s="1654">
        <v>125</v>
      </c>
      <c r="H51" s="1648" t="s">
        <v>464</v>
      </c>
      <c r="I51" s="1649" t="s">
        <v>464</v>
      </c>
      <c r="J51" s="1650" t="s">
        <v>464</v>
      </c>
      <c r="K51" s="1653">
        <v>110000</v>
      </c>
      <c r="L51" s="207">
        <f>(M51*1000)/K51*1000</f>
        <v>6181.818181818182</v>
      </c>
      <c r="M51" s="1654">
        <v>680</v>
      </c>
      <c r="N51" s="1160" t="s">
        <v>594</v>
      </c>
    </row>
    <row r="52" spans="1:14" ht="27" customHeight="1">
      <c r="A52" s="1156" t="s">
        <v>599</v>
      </c>
      <c r="B52" s="1648" t="s">
        <v>464</v>
      </c>
      <c r="C52" s="1649" t="s">
        <v>464</v>
      </c>
      <c r="D52" s="1650" t="s">
        <v>464</v>
      </c>
      <c r="E52" s="1648" t="s">
        <v>464</v>
      </c>
      <c r="F52" s="1649" t="s">
        <v>464</v>
      </c>
      <c r="G52" s="1650" t="s">
        <v>464</v>
      </c>
      <c r="H52" s="1648" t="s">
        <v>464</v>
      </c>
      <c r="I52" s="1649" t="s">
        <v>464</v>
      </c>
      <c r="J52" s="1650" t="s">
        <v>464</v>
      </c>
      <c r="K52" s="1648" t="s">
        <v>464</v>
      </c>
      <c r="L52" s="1649" t="s">
        <v>464</v>
      </c>
      <c r="M52" s="1650"/>
      <c r="N52" s="1160" t="s">
        <v>599</v>
      </c>
    </row>
    <row r="53" spans="1:14" ht="27" customHeight="1">
      <c r="A53" s="1156" t="s">
        <v>598</v>
      </c>
      <c r="B53" s="1648" t="s">
        <v>464</v>
      </c>
      <c r="C53" s="1649" t="s">
        <v>464</v>
      </c>
      <c r="D53" s="1650" t="s">
        <v>464</v>
      </c>
      <c r="E53" s="1648" t="s">
        <v>464</v>
      </c>
      <c r="F53" s="1649" t="s">
        <v>464</v>
      </c>
      <c r="G53" s="1650" t="s">
        <v>464</v>
      </c>
      <c r="H53" s="1648" t="s">
        <v>464</v>
      </c>
      <c r="I53" s="1649" t="s">
        <v>464</v>
      </c>
      <c r="J53" s="1650" t="s">
        <v>464</v>
      </c>
      <c r="K53" s="1648" t="s">
        <v>464</v>
      </c>
      <c r="L53" s="1649" t="s">
        <v>464</v>
      </c>
      <c r="M53" s="1650" t="s">
        <v>464</v>
      </c>
      <c r="N53" s="1160" t="s">
        <v>598</v>
      </c>
    </row>
    <row r="54" spans="1:14" ht="27" customHeight="1">
      <c r="A54" s="1169"/>
      <c r="B54" s="1657"/>
      <c r="C54" s="1658"/>
      <c r="D54" s="1659"/>
      <c r="E54" s="1657"/>
      <c r="F54" s="1658"/>
      <c r="G54" s="1659"/>
      <c r="H54" s="1657"/>
      <c r="I54" s="1658"/>
      <c r="J54" s="1659"/>
      <c r="K54" s="1657"/>
      <c r="L54" s="1658"/>
      <c r="M54" s="1659"/>
      <c r="N54" s="1160"/>
    </row>
    <row r="55" spans="1:14" ht="27" customHeight="1">
      <c r="A55" s="1163" t="s">
        <v>601</v>
      </c>
      <c r="B55" s="1648" t="s">
        <v>464</v>
      </c>
      <c r="C55" s="1649" t="s">
        <v>464</v>
      </c>
      <c r="D55" s="1650" t="s">
        <v>464</v>
      </c>
      <c r="E55" s="1648">
        <f>SUM(E56:E59)</f>
        <v>11000</v>
      </c>
      <c r="F55" s="426">
        <f>(G55*1000)/E55*1000</f>
        <v>3818.1818181818185</v>
      </c>
      <c r="G55" s="1650">
        <f>SUM(G56:G59)</f>
        <v>42</v>
      </c>
      <c r="H55" s="1648" t="s">
        <v>464</v>
      </c>
      <c r="I55" s="1649" t="s">
        <v>464</v>
      </c>
      <c r="J55" s="1650" t="s">
        <v>464</v>
      </c>
      <c r="K55" s="1648">
        <f>SUM(K56:K59)</f>
        <v>4000</v>
      </c>
      <c r="L55" s="426">
        <f>(M55*1000)/K55*1000</f>
        <v>5750</v>
      </c>
      <c r="M55" s="1650">
        <f>SUM(M56:M59)</f>
        <v>23</v>
      </c>
      <c r="N55" s="1167" t="s">
        <v>602</v>
      </c>
    </row>
    <row r="56" spans="1:14" ht="27" customHeight="1">
      <c r="A56" s="1156" t="s">
        <v>603</v>
      </c>
      <c r="B56" s="1648" t="s">
        <v>464</v>
      </c>
      <c r="C56" s="1649" t="s">
        <v>464</v>
      </c>
      <c r="D56" s="1650" t="s">
        <v>464</v>
      </c>
      <c r="E56" s="1651">
        <v>7000</v>
      </c>
      <c r="F56" s="207">
        <f>(G56*1000)/E56*1000</f>
        <v>3857.1428571428573</v>
      </c>
      <c r="G56" s="1652">
        <v>27</v>
      </c>
      <c r="H56" s="1648" t="s">
        <v>464</v>
      </c>
      <c r="I56" s="1649" t="s">
        <v>464</v>
      </c>
      <c r="J56" s="1650" t="s">
        <v>464</v>
      </c>
      <c r="K56" s="1651">
        <v>4000</v>
      </c>
      <c r="L56" s="207">
        <f>(M56*1000)/K56*1000</f>
        <v>5750</v>
      </c>
      <c r="M56" s="1652">
        <v>23</v>
      </c>
      <c r="N56" s="1160" t="s">
        <v>604</v>
      </c>
    </row>
    <row r="57" spans="1:14" ht="27" customHeight="1">
      <c r="A57" s="1156" t="s">
        <v>605</v>
      </c>
      <c r="B57" s="1648" t="s">
        <v>464</v>
      </c>
      <c r="C57" s="1649" t="s">
        <v>464</v>
      </c>
      <c r="D57" s="1650" t="s">
        <v>464</v>
      </c>
      <c r="E57" s="1651">
        <v>4000</v>
      </c>
      <c r="F57" s="207">
        <f>(G57*1000)/E57*1000</f>
        <v>3750</v>
      </c>
      <c r="G57" s="1652">
        <v>15</v>
      </c>
      <c r="H57" s="1648" t="s">
        <v>464</v>
      </c>
      <c r="I57" s="1649" t="s">
        <v>464</v>
      </c>
      <c r="J57" s="1650" t="s">
        <v>464</v>
      </c>
      <c r="K57" s="1648" t="s">
        <v>464</v>
      </c>
      <c r="L57" s="1649" t="s">
        <v>464</v>
      </c>
      <c r="M57" s="1650" t="s">
        <v>464</v>
      </c>
      <c r="N57" s="1160" t="s">
        <v>606</v>
      </c>
    </row>
    <row r="58" spans="1:14" ht="27" customHeight="1">
      <c r="A58" s="1156" t="s">
        <v>607</v>
      </c>
      <c r="B58" s="1648" t="s">
        <v>464</v>
      </c>
      <c r="C58" s="1649" t="s">
        <v>464</v>
      </c>
      <c r="D58" s="1650" t="s">
        <v>464</v>
      </c>
      <c r="E58" s="1648" t="s">
        <v>464</v>
      </c>
      <c r="F58" s="1649" t="s">
        <v>464</v>
      </c>
      <c r="G58" s="1650" t="s">
        <v>464</v>
      </c>
      <c r="H58" s="1648" t="s">
        <v>464</v>
      </c>
      <c r="I58" s="1649" t="s">
        <v>464</v>
      </c>
      <c r="J58" s="1650" t="s">
        <v>464</v>
      </c>
      <c r="K58" s="1648" t="s">
        <v>464</v>
      </c>
      <c r="L58" s="1649" t="s">
        <v>464</v>
      </c>
      <c r="M58" s="1650" t="s">
        <v>464</v>
      </c>
      <c r="N58" s="1160" t="s">
        <v>607</v>
      </c>
    </row>
    <row r="59" spans="1:14" ht="27" customHeight="1">
      <c r="A59" s="1156" t="s">
        <v>608</v>
      </c>
      <c r="B59" s="1648" t="s">
        <v>464</v>
      </c>
      <c r="C59" s="1649" t="s">
        <v>464</v>
      </c>
      <c r="D59" s="1650" t="s">
        <v>464</v>
      </c>
      <c r="E59" s="1648" t="s">
        <v>464</v>
      </c>
      <c r="F59" s="1649" t="s">
        <v>464</v>
      </c>
      <c r="G59" s="1650" t="s">
        <v>464</v>
      </c>
      <c r="H59" s="1648" t="s">
        <v>464</v>
      </c>
      <c r="I59" s="1649" t="s">
        <v>464</v>
      </c>
      <c r="J59" s="1650" t="s">
        <v>464</v>
      </c>
      <c r="K59" s="1648" t="s">
        <v>464</v>
      </c>
      <c r="L59" s="1649" t="s">
        <v>464</v>
      </c>
      <c r="M59" s="1650" t="s">
        <v>464</v>
      </c>
      <c r="N59" s="1160" t="s">
        <v>608</v>
      </c>
    </row>
    <row r="60" spans="1:14" s="166" customFormat="1" ht="27" customHeight="1">
      <c r="A60" s="1174"/>
      <c r="B60" s="1660"/>
      <c r="C60" s="1661"/>
      <c r="D60" s="1662"/>
      <c r="E60" s="1660"/>
      <c r="F60" s="1661"/>
      <c r="G60" s="1662"/>
      <c r="H60" s="1660"/>
      <c r="I60" s="1661"/>
      <c r="J60" s="1662"/>
      <c r="K60" s="1660"/>
      <c r="L60" s="1661"/>
      <c r="M60" s="1662"/>
      <c r="N60" s="1178"/>
    </row>
    <row r="61" spans="1:14" ht="27" customHeight="1">
      <c r="A61" s="1174" t="s">
        <v>1286</v>
      </c>
      <c r="B61" s="1648" t="s">
        <v>464</v>
      </c>
      <c r="C61" s="1649" t="s">
        <v>464</v>
      </c>
      <c r="D61" s="1650" t="s">
        <v>464</v>
      </c>
      <c r="E61" s="1648" t="s">
        <v>464</v>
      </c>
      <c r="F61" s="1649" t="s">
        <v>464</v>
      </c>
      <c r="G61" s="1650" t="s">
        <v>464</v>
      </c>
      <c r="H61" s="1648" t="s">
        <v>464</v>
      </c>
      <c r="I61" s="1649" t="s">
        <v>464</v>
      </c>
      <c r="J61" s="1650" t="s">
        <v>464</v>
      </c>
      <c r="K61" s="1648" t="s">
        <v>464</v>
      </c>
      <c r="L61" s="1649" t="s">
        <v>464</v>
      </c>
      <c r="M61" s="1650" t="s">
        <v>464</v>
      </c>
      <c r="N61" s="1167" t="s">
        <v>1286</v>
      </c>
    </row>
    <row r="62" spans="1:14" ht="27" customHeight="1">
      <c r="A62" s="1169" t="s">
        <v>586</v>
      </c>
      <c r="B62" s="1648" t="s">
        <v>464</v>
      </c>
      <c r="C62" s="1649" t="s">
        <v>464</v>
      </c>
      <c r="D62" s="1650" t="s">
        <v>464</v>
      </c>
      <c r="E62" s="1648" t="s">
        <v>464</v>
      </c>
      <c r="F62" s="1649" t="s">
        <v>464</v>
      </c>
      <c r="G62" s="1650" t="s">
        <v>464</v>
      </c>
      <c r="H62" s="1648" t="s">
        <v>464</v>
      </c>
      <c r="I62" s="1649" t="s">
        <v>464</v>
      </c>
      <c r="J62" s="1650" t="s">
        <v>464</v>
      </c>
      <c r="K62" s="1648" t="s">
        <v>464</v>
      </c>
      <c r="L62" s="1649" t="s">
        <v>464</v>
      </c>
      <c r="M62" s="1650" t="s">
        <v>464</v>
      </c>
      <c r="N62" s="1160" t="s">
        <v>586</v>
      </c>
    </row>
    <row r="63" spans="1:14" ht="27" customHeight="1">
      <c r="A63" s="1169" t="s">
        <v>587</v>
      </c>
      <c r="B63" s="1648" t="s">
        <v>464</v>
      </c>
      <c r="C63" s="1649" t="s">
        <v>464</v>
      </c>
      <c r="D63" s="1650" t="s">
        <v>464</v>
      </c>
      <c r="E63" s="1648" t="s">
        <v>464</v>
      </c>
      <c r="F63" s="1649" t="s">
        <v>464</v>
      </c>
      <c r="G63" s="1650" t="s">
        <v>464</v>
      </c>
      <c r="H63" s="1648" t="s">
        <v>464</v>
      </c>
      <c r="I63" s="1649" t="s">
        <v>464</v>
      </c>
      <c r="J63" s="1650" t="s">
        <v>464</v>
      </c>
      <c r="K63" s="1648" t="s">
        <v>464</v>
      </c>
      <c r="L63" s="1649" t="s">
        <v>464</v>
      </c>
      <c r="M63" s="1650" t="s">
        <v>464</v>
      </c>
      <c r="N63" s="1160" t="s">
        <v>587</v>
      </c>
    </row>
    <row r="64" spans="1:14" ht="27" customHeight="1">
      <c r="A64" s="1169"/>
      <c r="B64" s="1657"/>
      <c r="C64" s="1658"/>
      <c r="D64" s="1659"/>
      <c r="E64" s="1657"/>
      <c r="F64" s="1658"/>
      <c r="G64" s="1659"/>
      <c r="H64" s="1657"/>
      <c r="I64" s="1658"/>
      <c r="J64" s="1659"/>
      <c r="K64" s="1648"/>
      <c r="L64" s="1649"/>
      <c r="M64" s="1650"/>
      <c r="N64" s="1160"/>
    </row>
    <row r="65" spans="1:14" ht="27" customHeight="1">
      <c r="A65" s="1174" t="s">
        <v>1287</v>
      </c>
      <c r="B65" s="1648" t="s">
        <v>464</v>
      </c>
      <c r="C65" s="1649" t="s">
        <v>464</v>
      </c>
      <c r="D65" s="1650" t="s">
        <v>464</v>
      </c>
      <c r="E65" s="1655">
        <f>SUM(E66:E68)</f>
        <v>12000</v>
      </c>
      <c r="F65" s="426">
        <f>(G65*1000)/E65*1000</f>
        <v>3000</v>
      </c>
      <c r="G65" s="1662">
        <f>SUM(G66:G68)</f>
        <v>36</v>
      </c>
      <c r="H65" s="1648" t="s">
        <v>464</v>
      </c>
      <c r="I65" s="1649" t="s">
        <v>464</v>
      </c>
      <c r="J65" s="1650" t="s">
        <v>464</v>
      </c>
      <c r="K65" s="1655">
        <f>SUM(K66:K68)</f>
        <v>12000</v>
      </c>
      <c r="L65" s="426">
        <f>(M65*1000)/K65*1000</f>
        <v>5166.666666666667</v>
      </c>
      <c r="M65" s="1662">
        <f>SUM(M66:M68)</f>
        <v>62</v>
      </c>
      <c r="N65" s="1167" t="s">
        <v>1287</v>
      </c>
    </row>
    <row r="66" spans="1:14" ht="27" customHeight="1">
      <c r="A66" s="1169" t="s">
        <v>1273</v>
      </c>
      <c r="B66" s="1648" t="s">
        <v>464</v>
      </c>
      <c r="C66" s="1649" t="s">
        <v>464</v>
      </c>
      <c r="D66" s="1650" t="s">
        <v>464</v>
      </c>
      <c r="E66" s="1651">
        <v>12000</v>
      </c>
      <c r="F66" s="207">
        <f>(G66*1000)/E66*1000</f>
        <v>3000</v>
      </c>
      <c r="G66" s="1652">
        <v>36</v>
      </c>
      <c r="H66" s="1648" t="s">
        <v>464</v>
      </c>
      <c r="I66" s="1649" t="s">
        <v>464</v>
      </c>
      <c r="J66" s="1650" t="s">
        <v>464</v>
      </c>
      <c r="K66" s="1651">
        <v>12000</v>
      </c>
      <c r="L66" s="207">
        <f>(M66*1000)/K66*1000</f>
        <v>5166.666666666667</v>
      </c>
      <c r="M66" s="1652">
        <v>62</v>
      </c>
      <c r="N66" s="1160" t="s">
        <v>1273</v>
      </c>
    </row>
    <row r="67" spans="1:14" ht="27" customHeight="1">
      <c r="A67" s="1169" t="s">
        <v>596</v>
      </c>
      <c r="B67" s="1648" t="s">
        <v>464</v>
      </c>
      <c r="C67" s="1649" t="s">
        <v>464</v>
      </c>
      <c r="D67" s="1650" t="s">
        <v>464</v>
      </c>
      <c r="E67" s="1648" t="s">
        <v>464</v>
      </c>
      <c r="F67" s="1649" t="s">
        <v>464</v>
      </c>
      <c r="G67" s="1650" t="s">
        <v>464</v>
      </c>
      <c r="H67" s="1648" t="s">
        <v>464</v>
      </c>
      <c r="I67" s="1649" t="s">
        <v>464</v>
      </c>
      <c r="J67" s="1650" t="s">
        <v>464</v>
      </c>
      <c r="K67" s="1648" t="s">
        <v>464</v>
      </c>
      <c r="L67" s="1649" t="s">
        <v>464</v>
      </c>
      <c r="M67" s="1650" t="s">
        <v>464</v>
      </c>
      <c r="N67" s="1160" t="s">
        <v>596</v>
      </c>
    </row>
    <row r="68" spans="1:14" ht="27" customHeight="1" thickBot="1">
      <c r="A68" s="1180" t="s">
        <v>595</v>
      </c>
      <c r="B68" s="1663" t="s">
        <v>464</v>
      </c>
      <c r="C68" s="1664" t="s">
        <v>464</v>
      </c>
      <c r="D68" s="1665" t="s">
        <v>464</v>
      </c>
      <c r="E68" s="1663" t="s">
        <v>464</v>
      </c>
      <c r="F68" s="1664" t="s">
        <v>464</v>
      </c>
      <c r="G68" s="1665" t="s">
        <v>464</v>
      </c>
      <c r="H68" s="1663" t="s">
        <v>464</v>
      </c>
      <c r="I68" s="1664" t="s">
        <v>464</v>
      </c>
      <c r="J68" s="1665" t="s">
        <v>464</v>
      </c>
      <c r="K68" s="1663" t="s">
        <v>464</v>
      </c>
      <c r="L68" s="1664" t="s">
        <v>464</v>
      </c>
      <c r="M68" s="1665" t="s">
        <v>464</v>
      </c>
      <c r="N68" s="1186" t="s">
        <v>595</v>
      </c>
    </row>
    <row r="69" spans="1:14" ht="27" customHeight="1">
      <c r="A69" s="111"/>
      <c r="B69" s="1161"/>
      <c r="C69" s="1161"/>
      <c r="D69" s="1235"/>
      <c r="E69" s="1161"/>
      <c r="F69" s="1161"/>
      <c r="G69" s="1161"/>
      <c r="H69" s="1161"/>
      <c r="I69" s="1161"/>
      <c r="J69" s="1161"/>
      <c r="K69" s="1161"/>
      <c r="L69" s="1161"/>
      <c r="M69" s="1161"/>
      <c r="N69" s="715"/>
    </row>
    <row r="70" spans="1:14" ht="27" customHeight="1">
      <c r="A70" s="111"/>
      <c r="B70" s="1161"/>
      <c r="C70" s="1161"/>
      <c r="D70" s="1235"/>
      <c r="E70" s="1161"/>
      <c r="F70" s="1161"/>
      <c r="G70" s="1161"/>
      <c r="H70" s="1161"/>
      <c r="I70" s="1161"/>
      <c r="J70" s="1161"/>
      <c r="K70" s="1161"/>
      <c r="L70" s="1161"/>
      <c r="M70" s="1161"/>
      <c r="N70" s="715"/>
    </row>
    <row r="71" spans="1:14" ht="27" customHeight="1">
      <c r="A71" s="111"/>
      <c r="B71" s="1161"/>
      <c r="C71" s="1161"/>
      <c r="D71" s="1235"/>
      <c r="E71" s="1161"/>
      <c r="F71" s="1161"/>
      <c r="G71" s="1161"/>
      <c r="H71" s="1161"/>
      <c r="I71" s="1161"/>
      <c r="J71" s="1161"/>
      <c r="K71" s="1161"/>
      <c r="L71" s="1161"/>
      <c r="M71" s="1161"/>
      <c r="N71" s="715"/>
    </row>
    <row r="72" spans="1:14" ht="27" customHeight="1">
      <c r="A72" s="201" t="s">
        <v>1516</v>
      </c>
      <c r="B72" s="201"/>
      <c r="C72" s="201"/>
      <c r="D72" s="2047"/>
      <c r="E72" s="201"/>
      <c r="F72" s="201"/>
      <c r="G72" s="201"/>
      <c r="H72" s="201"/>
      <c r="I72" s="201"/>
      <c r="J72" s="220"/>
      <c r="K72" s="220"/>
      <c r="L72" s="1161"/>
      <c r="M72" s="1161"/>
      <c r="N72" s="715"/>
    </row>
    <row r="73" spans="1:14" ht="27" customHeight="1">
      <c r="A73" s="204" t="s">
        <v>1515</v>
      </c>
      <c r="B73" s="204"/>
      <c r="C73" s="204"/>
      <c r="D73" s="2048"/>
      <c r="E73" s="204"/>
      <c r="F73" s="204"/>
      <c r="G73" s="204"/>
      <c r="H73" s="204"/>
      <c r="I73" s="204"/>
      <c r="J73" s="285"/>
      <c r="K73" s="285"/>
      <c r="L73" s="1371"/>
      <c r="M73" s="1371"/>
      <c r="N73" s="222"/>
    </row>
    <row r="74" spans="1:14" ht="27" customHeight="1" thickBot="1">
      <c r="A74" s="285"/>
      <c r="B74" s="285"/>
      <c r="C74" s="285"/>
      <c r="D74" s="1366"/>
      <c r="E74" s="285"/>
      <c r="F74" s="285"/>
      <c r="G74" s="285"/>
      <c r="H74" s="285"/>
      <c r="I74" s="285"/>
      <c r="J74" s="285"/>
      <c r="K74" s="285"/>
      <c r="L74" s="1371"/>
      <c r="M74" s="1371"/>
      <c r="N74" s="222"/>
    </row>
    <row r="75" spans="1:14" ht="27" customHeight="1" thickBot="1">
      <c r="A75" s="223"/>
      <c r="B75" s="2889" t="s">
        <v>392</v>
      </c>
      <c r="C75" s="2890"/>
      <c r="D75" s="2890"/>
      <c r="E75" s="2890"/>
      <c r="F75" s="2890"/>
      <c r="G75" s="2891"/>
      <c r="H75" s="2886" t="s">
        <v>526</v>
      </c>
      <c r="I75" s="2887"/>
      <c r="J75" s="2887"/>
      <c r="K75" s="2887"/>
      <c r="L75" s="2887"/>
      <c r="M75" s="2888"/>
      <c r="N75" s="259"/>
    </row>
    <row r="76" spans="1:14" ht="27" customHeight="1" thickBot="1">
      <c r="A76" s="228" t="s">
        <v>566</v>
      </c>
      <c r="B76" s="2591" t="s">
        <v>523</v>
      </c>
      <c r="C76" s="2591"/>
      <c r="D76" s="2347"/>
      <c r="E76" s="2592" t="s">
        <v>741</v>
      </c>
      <c r="F76" s="2591"/>
      <c r="G76" s="2347"/>
      <c r="H76" s="205" t="s">
        <v>742</v>
      </c>
      <c r="I76" s="1638"/>
      <c r="J76" s="1637"/>
      <c r="K76" s="1635" t="s">
        <v>741</v>
      </c>
      <c r="L76" s="1638"/>
      <c r="M76" s="1784"/>
      <c r="N76" s="229" t="s">
        <v>570</v>
      </c>
    </row>
    <row r="77" spans="1:14" ht="27" customHeight="1">
      <c r="A77" s="228" t="s">
        <v>571</v>
      </c>
      <c r="B77" s="275" t="s">
        <v>567</v>
      </c>
      <c r="C77" s="275" t="s">
        <v>568</v>
      </c>
      <c r="D77" s="275" t="s">
        <v>569</v>
      </c>
      <c r="E77" s="275" t="s">
        <v>567</v>
      </c>
      <c r="F77" s="275" t="s">
        <v>568</v>
      </c>
      <c r="G77" s="1367" t="s">
        <v>569</v>
      </c>
      <c r="H77" s="275" t="s">
        <v>567</v>
      </c>
      <c r="I77" s="2784" t="s">
        <v>568</v>
      </c>
      <c r="J77" s="275" t="s">
        <v>569</v>
      </c>
      <c r="K77" s="275" t="s">
        <v>567</v>
      </c>
      <c r="L77" s="275" t="s">
        <v>568</v>
      </c>
      <c r="M77" s="1367" t="s">
        <v>569</v>
      </c>
      <c r="N77" s="229" t="s">
        <v>575</v>
      </c>
    </row>
    <row r="78" spans="1:14" ht="27" customHeight="1">
      <c r="A78" s="228"/>
      <c r="B78" s="230" t="s">
        <v>572</v>
      </c>
      <c r="C78" s="1773" t="s">
        <v>573</v>
      </c>
      <c r="D78" s="1355" t="s">
        <v>574</v>
      </c>
      <c r="E78" s="230" t="s">
        <v>572</v>
      </c>
      <c r="F78" s="1773" t="s">
        <v>573</v>
      </c>
      <c r="G78" s="2783" t="s">
        <v>574</v>
      </c>
      <c r="H78" s="230" t="s">
        <v>572</v>
      </c>
      <c r="I78" s="1772" t="s">
        <v>573</v>
      </c>
      <c r="J78" s="1355" t="s">
        <v>574</v>
      </c>
      <c r="K78" s="230" t="s">
        <v>572</v>
      </c>
      <c r="L78" s="1773" t="s">
        <v>573</v>
      </c>
      <c r="M78" s="1355" t="s">
        <v>574</v>
      </c>
      <c r="N78" s="229"/>
    </row>
    <row r="79" spans="1:14" ht="27" customHeight="1" thickBot="1">
      <c r="A79" s="228"/>
      <c r="B79" s="1356" t="s">
        <v>1499</v>
      </c>
      <c r="C79" s="233" t="s">
        <v>393</v>
      </c>
      <c r="D79" s="233" t="s">
        <v>577</v>
      </c>
      <c r="E79" s="1356" t="s">
        <v>1499</v>
      </c>
      <c r="F79" s="233" t="s">
        <v>1267</v>
      </c>
      <c r="G79" s="1368" t="s">
        <v>577</v>
      </c>
      <c r="H79" s="2787" t="s">
        <v>1499</v>
      </c>
      <c r="I79" s="2785" t="s">
        <v>1413</v>
      </c>
      <c r="J79" s="233" t="s">
        <v>854</v>
      </c>
      <c r="K79" s="1356" t="s">
        <v>1499</v>
      </c>
      <c r="L79" s="233" t="s">
        <v>1267</v>
      </c>
      <c r="M79" s="1368" t="s">
        <v>577</v>
      </c>
      <c r="N79" s="229"/>
    </row>
    <row r="80" spans="1:14" s="166" customFormat="1" ht="27" customHeight="1" thickBot="1">
      <c r="A80" s="1375" t="s">
        <v>578</v>
      </c>
      <c r="B80" s="1635">
        <f>SUM(B99)</f>
        <v>3500</v>
      </c>
      <c r="C80" s="1636">
        <f>(D80*1000)/B80</f>
        <v>4.285714285714286</v>
      </c>
      <c r="D80" s="1637">
        <f>SUM(D99)</f>
        <v>15</v>
      </c>
      <c r="E80" s="1639" t="s">
        <v>464</v>
      </c>
      <c r="F80" s="1640" t="s">
        <v>464</v>
      </c>
      <c r="G80" s="1641" t="s">
        <v>464</v>
      </c>
      <c r="H80" s="2786">
        <f>SUM(H93)</f>
        <v>2600</v>
      </c>
      <c r="I80" s="1636">
        <f>(J80*1000)/H80</f>
        <v>53846.153846153844</v>
      </c>
      <c r="J80" s="1637">
        <f>SUM(J93)</f>
        <v>140000</v>
      </c>
      <c r="K80" s="1639" t="s">
        <v>464</v>
      </c>
      <c r="L80" s="1640" t="s">
        <v>464</v>
      </c>
      <c r="M80" s="1641" t="s">
        <v>464</v>
      </c>
      <c r="N80" s="1370" t="s">
        <v>579</v>
      </c>
    </row>
    <row r="81" spans="1:14" s="166" customFormat="1" ht="27" customHeight="1">
      <c r="A81" s="1149" t="s">
        <v>580</v>
      </c>
      <c r="B81" s="1642" t="s">
        <v>464</v>
      </c>
      <c r="C81" s="1643" t="s">
        <v>464</v>
      </c>
      <c r="D81" s="1644" t="s">
        <v>464</v>
      </c>
      <c r="E81" s="1642" t="s">
        <v>464</v>
      </c>
      <c r="F81" s="1643" t="s">
        <v>464</v>
      </c>
      <c r="G81" s="1644" t="s">
        <v>464</v>
      </c>
      <c r="H81" s="1642" t="s">
        <v>464</v>
      </c>
      <c r="I81" s="1643" t="s">
        <v>464</v>
      </c>
      <c r="J81" s="1644" t="s">
        <v>464</v>
      </c>
      <c r="K81" s="1642" t="s">
        <v>464</v>
      </c>
      <c r="L81" s="1643" t="s">
        <v>464</v>
      </c>
      <c r="M81" s="1644" t="s">
        <v>464</v>
      </c>
      <c r="N81" s="1155" t="s">
        <v>581</v>
      </c>
    </row>
    <row r="82" spans="1:14" ht="27" customHeight="1">
      <c r="A82" s="1156" t="s">
        <v>582</v>
      </c>
      <c r="B82" s="1648" t="s">
        <v>464</v>
      </c>
      <c r="C82" s="1649" t="s">
        <v>464</v>
      </c>
      <c r="D82" s="1650" t="s">
        <v>464</v>
      </c>
      <c r="E82" s="1648" t="s">
        <v>464</v>
      </c>
      <c r="F82" s="1649" t="s">
        <v>464</v>
      </c>
      <c r="G82" s="1650" t="s">
        <v>464</v>
      </c>
      <c r="H82" s="1648" t="s">
        <v>464</v>
      </c>
      <c r="I82" s="1649" t="s">
        <v>464</v>
      </c>
      <c r="J82" s="1650" t="s">
        <v>464</v>
      </c>
      <c r="K82" s="1648" t="s">
        <v>464</v>
      </c>
      <c r="L82" s="1649" t="s">
        <v>464</v>
      </c>
      <c r="M82" s="1650" t="s">
        <v>464</v>
      </c>
      <c r="N82" s="1160" t="s">
        <v>583</v>
      </c>
    </row>
    <row r="83" spans="1:14" ht="27" customHeight="1">
      <c r="A83" s="1156" t="s">
        <v>584</v>
      </c>
      <c r="B83" s="1648" t="s">
        <v>464</v>
      </c>
      <c r="C83" s="1649" t="s">
        <v>464</v>
      </c>
      <c r="D83" s="1650" t="s">
        <v>464</v>
      </c>
      <c r="E83" s="1648" t="s">
        <v>464</v>
      </c>
      <c r="F83" s="1649" t="s">
        <v>464</v>
      </c>
      <c r="G83" s="1650" t="s">
        <v>464</v>
      </c>
      <c r="H83" s="1648" t="s">
        <v>464</v>
      </c>
      <c r="I83" s="1649" t="s">
        <v>464</v>
      </c>
      <c r="J83" s="1650" t="s">
        <v>464</v>
      </c>
      <c r="K83" s="1648" t="s">
        <v>464</v>
      </c>
      <c r="L83" s="1649" t="s">
        <v>464</v>
      </c>
      <c r="M83" s="1650" t="s">
        <v>464</v>
      </c>
      <c r="N83" s="1160" t="s">
        <v>584</v>
      </c>
    </row>
    <row r="84" spans="1:14" ht="27" customHeight="1">
      <c r="A84" s="1156" t="s">
        <v>585</v>
      </c>
      <c r="B84" s="1648" t="s">
        <v>464</v>
      </c>
      <c r="C84" s="1649" t="s">
        <v>464</v>
      </c>
      <c r="D84" s="1650" t="s">
        <v>464</v>
      </c>
      <c r="E84" s="1648" t="s">
        <v>464</v>
      </c>
      <c r="F84" s="1649" t="s">
        <v>464</v>
      </c>
      <c r="G84" s="1650" t="s">
        <v>464</v>
      </c>
      <c r="H84" s="1648" t="s">
        <v>464</v>
      </c>
      <c r="I84" s="1649" t="s">
        <v>464</v>
      </c>
      <c r="J84" s="1650" t="s">
        <v>464</v>
      </c>
      <c r="K84" s="1648" t="s">
        <v>464</v>
      </c>
      <c r="L84" s="1649" t="s">
        <v>464</v>
      </c>
      <c r="M84" s="1650" t="s">
        <v>464</v>
      </c>
      <c r="N84" s="1160" t="s">
        <v>585</v>
      </c>
    </row>
    <row r="85" spans="1:14" ht="27" customHeight="1">
      <c r="A85" s="1156"/>
      <c r="B85" s="1653"/>
      <c r="C85" s="207"/>
      <c r="D85" s="1654"/>
      <c r="E85" s="1653"/>
      <c r="F85" s="207"/>
      <c r="G85" s="1654"/>
      <c r="H85" s="1653"/>
      <c r="I85" s="207"/>
      <c r="J85" s="1654"/>
      <c r="K85" s="1653"/>
      <c r="L85" s="207"/>
      <c r="M85" s="1654"/>
      <c r="N85" s="1160"/>
    </row>
    <row r="86" spans="1:14" ht="27" customHeight="1">
      <c r="A86" s="1163" t="s">
        <v>588</v>
      </c>
      <c r="B86" s="1648" t="s">
        <v>464</v>
      </c>
      <c r="C86" s="1649" t="s">
        <v>464</v>
      </c>
      <c r="D86" s="1650" t="s">
        <v>464</v>
      </c>
      <c r="E86" s="1648" t="s">
        <v>464</v>
      </c>
      <c r="F86" s="1649" t="s">
        <v>464</v>
      </c>
      <c r="G86" s="1650" t="s">
        <v>464</v>
      </c>
      <c r="H86" s="1648" t="s">
        <v>464</v>
      </c>
      <c r="I86" s="1649" t="s">
        <v>464</v>
      </c>
      <c r="J86" s="1650" t="s">
        <v>464</v>
      </c>
      <c r="K86" s="1648" t="s">
        <v>464</v>
      </c>
      <c r="L86" s="1649" t="s">
        <v>464</v>
      </c>
      <c r="M86" s="1650" t="s">
        <v>464</v>
      </c>
      <c r="N86" s="1167" t="s">
        <v>589</v>
      </c>
    </row>
    <row r="87" spans="1:14" ht="27" customHeight="1">
      <c r="A87" s="1156" t="s">
        <v>590</v>
      </c>
      <c r="B87" s="1648" t="s">
        <v>464</v>
      </c>
      <c r="C87" s="1649" t="s">
        <v>464</v>
      </c>
      <c r="D87" s="1650" t="s">
        <v>464</v>
      </c>
      <c r="E87" s="1648" t="s">
        <v>464</v>
      </c>
      <c r="F87" s="1649" t="s">
        <v>464</v>
      </c>
      <c r="G87" s="1650" t="s">
        <v>464</v>
      </c>
      <c r="H87" s="1648" t="s">
        <v>464</v>
      </c>
      <c r="I87" s="1649" t="s">
        <v>464</v>
      </c>
      <c r="J87" s="1650" t="s">
        <v>464</v>
      </c>
      <c r="K87" s="1648" t="s">
        <v>464</v>
      </c>
      <c r="L87" s="1649" t="s">
        <v>464</v>
      </c>
      <c r="M87" s="1650" t="s">
        <v>464</v>
      </c>
      <c r="N87" s="1160" t="s">
        <v>591</v>
      </c>
    </row>
    <row r="88" spans="1:14" s="166" customFormat="1" ht="27" customHeight="1">
      <c r="A88" s="1156" t="s">
        <v>592</v>
      </c>
      <c r="B88" s="1648" t="s">
        <v>464</v>
      </c>
      <c r="C88" s="1649" t="s">
        <v>464</v>
      </c>
      <c r="D88" s="1650" t="s">
        <v>464</v>
      </c>
      <c r="E88" s="1648" t="s">
        <v>464</v>
      </c>
      <c r="F88" s="1649" t="s">
        <v>464</v>
      </c>
      <c r="G88" s="1650" t="s">
        <v>464</v>
      </c>
      <c r="H88" s="1648" t="s">
        <v>464</v>
      </c>
      <c r="I88" s="1649" t="s">
        <v>464</v>
      </c>
      <c r="J88" s="1650" t="s">
        <v>464</v>
      </c>
      <c r="K88" s="1648" t="s">
        <v>464</v>
      </c>
      <c r="L88" s="1649" t="s">
        <v>464</v>
      </c>
      <c r="M88" s="1650" t="s">
        <v>464</v>
      </c>
      <c r="N88" s="1160" t="s">
        <v>593</v>
      </c>
    </row>
    <row r="89" spans="1:14" ht="27" customHeight="1">
      <c r="A89" s="1156" t="s">
        <v>594</v>
      </c>
      <c r="B89" s="1648" t="s">
        <v>464</v>
      </c>
      <c r="C89" s="1649" t="s">
        <v>464</v>
      </c>
      <c r="D89" s="1650" t="s">
        <v>464</v>
      </c>
      <c r="E89" s="1648" t="s">
        <v>464</v>
      </c>
      <c r="F89" s="1649" t="s">
        <v>464</v>
      </c>
      <c r="G89" s="1650" t="s">
        <v>464</v>
      </c>
      <c r="H89" s="1648" t="s">
        <v>464</v>
      </c>
      <c r="I89" s="1649" t="s">
        <v>464</v>
      </c>
      <c r="J89" s="1650" t="s">
        <v>464</v>
      </c>
      <c r="K89" s="1648" t="s">
        <v>464</v>
      </c>
      <c r="L89" s="1649" t="s">
        <v>464</v>
      </c>
      <c r="M89" s="1650" t="s">
        <v>464</v>
      </c>
      <c r="N89" s="1160" t="s">
        <v>594</v>
      </c>
    </row>
    <row r="90" spans="1:14" ht="27" customHeight="1">
      <c r="A90" s="1156" t="s">
        <v>599</v>
      </c>
      <c r="B90" s="1648" t="s">
        <v>464</v>
      </c>
      <c r="C90" s="1649" t="s">
        <v>464</v>
      </c>
      <c r="D90" s="1650" t="s">
        <v>464</v>
      </c>
      <c r="E90" s="1648" t="s">
        <v>464</v>
      </c>
      <c r="F90" s="1649" t="s">
        <v>464</v>
      </c>
      <c r="G90" s="1650" t="s">
        <v>464</v>
      </c>
      <c r="H90" s="1648" t="s">
        <v>464</v>
      </c>
      <c r="I90" s="1649" t="s">
        <v>464</v>
      </c>
      <c r="J90" s="1650" t="s">
        <v>464</v>
      </c>
      <c r="K90" s="1648" t="s">
        <v>464</v>
      </c>
      <c r="L90" s="1649" t="s">
        <v>464</v>
      </c>
      <c r="M90" s="1650" t="s">
        <v>464</v>
      </c>
      <c r="N90" s="1160" t="s">
        <v>599</v>
      </c>
    </row>
    <row r="91" spans="1:14" ht="27" customHeight="1">
      <c r="A91" s="1156" t="s">
        <v>598</v>
      </c>
      <c r="B91" s="1648" t="s">
        <v>464</v>
      </c>
      <c r="C91" s="1649" t="s">
        <v>464</v>
      </c>
      <c r="D91" s="1650" t="s">
        <v>464</v>
      </c>
      <c r="E91" s="1648" t="s">
        <v>464</v>
      </c>
      <c r="F91" s="1649" t="s">
        <v>464</v>
      </c>
      <c r="G91" s="1650" t="s">
        <v>464</v>
      </c>
      <c r="H91" s="1648" t="s">
        <v>464</v>
      </c>
      <c r="I91" s="1649" t="s">
        <v>464</v>
      </c>
      <c r="J91" s="1650" t="s">
        <v>464</v>
      </c>
      <c r="K91" s="1648" t="s">
        <v>464</v>
      </c>
      <c r="L91" s="1649" t="s">
        <v>464</v>
      </c>
      <c r="M91" s="1650" t="s">
        <v>464</v>
      </c>
      <c r="N91" s="1160" t="s">
        <v>598</v>
      </c>
    </row>
    <row r="92" spans="1:14" ht="27" customHeight="1">
      <c r="A92" s="1169"/>
      <c r="B92" s="1653"/>
      <c r="C92" s="427"/>
      <c r="D92" s="1670"/>
      <c r="E92" s="1657"/>
      <c r="F92" s="1658"/>
      <c r="G92" s="1659"/>
      <c r="H92" s="1653"/>
      <c r="I92" s="427"/>
      <c r="J92" s="1670"/>
      <c r="K92" s="1657"/>
      <c r="L92" s="1658"/>
      <c r="M92" s="1659"/>
      <c r="N92" s="1160"/>
    </row>
    <row r="93" spans="1:14" ht="27" customHeight="1">
      <c r="A93" s="1163" t="s">
        <v>601</v>
      </c>
      <c r="B93" s="1648" t="s">
        <v>464</v>
      </c>
      <c r="C93" s="1649" t="s">
        <v>464</v>
      </c>
      <c r="D93" s="1650" t="s">
        <v>464</v>
      </c>
      <c r="E93" s="1648" t="s">
        <v>464</v>
      </c>
      <c r="F93" s="1649" t="s">
        <v>464</v>
      </c>
      <c r="G93" s="1650" t="s">
        <v>464</v>
      </c>
      <c r="H93" s="1655">
        <f>SUM(H94:H97)</f>
        <v>2600</v>
      </c>
      <c r="I93" s="426">
        <f>(J93*1000)/H93</f>
        <v>53846.153846153844</v>
      </c>
      <c r="J93" s="1656">
        <f>SUM(J94:J97)</f>
        <v>140000</v>
      </c>
      <c r="K93" s="1648" t="s">
        <v>464</v>
      </c>
      <c r="L93" s="1649" t="s">
        <v>464</v>
      </c>
      <c r="M93" s="1650" t="s">
        <v>464</v>
      </c>
      <c r="N93" s="1167" t="s">
        <v>602</v>
      </c>
    </row>
    <row r="94" spans="1:14" ht="27" customHeight="1">
      <c r="A94" s="1156" t="s">
        <v>603</v>
      </c>
      <c r="B94" s="1648" t="s">
        <v>464</v>
      </c>
      <c r="C94" s="1649" t="s">
        <v>464</v>
      </c>
      <c r="D94" s="1650" t="s">
        <v>464</v>
      </c>
      <c r="E94" s="1648" t="s">
        <v>464</v>
      </c>
      <c r="F94" s="1649" t="s">
        <v>464</v>
      </c>
      <c r="G94" s="1650" t="s">
        <v>464</v>
      </c>
      <c r="H94" s="1648" t="s">
        <v>464</v>
      </c>
      <c r="I94" s="1649" t="s">
        <v>464</v>
      </c>
      <c r="J94" s="1650" t="s">
        <v>464</v>
      </c>
      <c r="K94" s="1648" t="s">
        <v>464</v>
      </c>
      <c r="L94" s="1649" t="s">
        <v>464</v>
      </c>
      <c r="M94" s="1650" t="s">
        <v>464</v>
      </c>
      <c r="N94" s="1160" t="s">
        <v>604</v>
      </c>
    </row>
    <row r="95" spans="1:14" ht="27" customHeight="1">
      <c r="A95" s="1156" t="s">
        <v>605</v>
      </c>
      <c r="B95" s="1648" t="s">
        <v>464</v>
      </c>
      <c r="C95" s="1649" t="s">
        <v>464</v>
      </c>
      <c r="D95" s="1650" t="s">
        <v>464</v>
      </c>
      <c r="E95" s="1648" t="s">
        <v>464</v>
      </c>
      <c r="F95" s="1649" t="s">
        <v>464</v>
      </c>
      <c r="G95" s="1650" t="s">
        <v>464</v>
      </c>
      <c r="H95" s="1653">
        <v>2600</v>
      </c>
      <c r="I95" s="207">
        <f>(J95*1000)/H95</f>
        <v>53846.153846153844</v>
      </c>
      <c r="J95" s="1654">
        <v>140000</v>
      </c>
      <c r="K95" s="1648" t="s">
        <v>464</v>
      </c>
      <c r="L95" s="1649" t="s">
        <v>464</v>
      </c>
      <c r="M95" s="1650" t="s">
        <v>464</v>
      </c>
      <c r="N95" s="1160" t="s">
        <v>606</v>
      </c>
    </row>
    <row r="96" spans="1:14" ht="27" customHeight="1">
      <c r="A96" s="1156" t="s">
        <v>607</v>
      </c>
      <c r="B96" s="1648" t="s">
        <v>464</v>
      </c>
      <c r="C96" s="1649" t="s">
        <v>464</v>
      </c>
      <c r="D96" s="1650" t="s">
        <v>464</v>
      </c>
      <c r="E96" s="1648" t="s">
        <v>464</v>
      </c>
      <c r="F96" s="1649" t="s">
        <v>464</v>
      </c>
      <c r="G96" s="1650" t="s">
        <v>464</v>
      </c>
      <c r="H96" s="1648" t="s">
        <v>464</v>
      </c>
      <c r="I96" s="1649" t="s">
        <v>464</v>
      </c>
      <c r="J96" s="1650" t="s">
        <v>464</v>
      </c>
      <c r="K96" s="1648" t="s">
        <v>464</v>
      </c>
      <c r="L96" s="1649" t="s">
        <v>464</v>
      </c>
      <c r="M96" s="1650" t="s">
        <v>464</v>
      </c>
      <c r="N96" s="1160" t="s">
        <v>607</v>
      </c>
    </row>
    <row r="97" spans="1:14" ht="27" customHeight="1">
      <c r="A97" s="1156" t="s">
        <v>608</v>
      </c>
      <c r="B97" s="1648" t="s">
        <v>464</v>
      </c>
      <c r="C97" s="1649" t="s">
        <v>464</v>
      </c>
      <c r="D97" s="1650" t="s">
        <v>464</v>
      </c>
      <c r="E97" s="1648" t="s">
        <v>464</v>
      </c>
      <c r="F97" s="1649" t="s">
        <v>464</v>
      </c>
      <c r="G97" s="1650" t="s">
        <v>464</v>
      </c>
      <c r="H97" s="1648" t="s">
        <v>464</v>
      </c>
      <c r="I97" s="1649" t="s">
        <v>464</v>
      </c>
      <c r="J97" s="1650" t="s">
        <v>464</v>
      </c>
      <c r="K97" s="1648" t="s">
        <v>464</v>
      </c>
      <c r="L97" s="1649" t="s">
        <v>464</v>
      </c>
      <c r="M97" s="1650" t="s">
        <v>464</v>
      </c>
      <c r="N97" s="1160" t="s">
        <v>608</v>
      </c>
    </row>
    <row r="98" spans="1:14" s="166" customFormat="1" ht="27" customHeight="1">
      <c r="A98" s="1174"/>
      <c r="B98" s="1655"/>
      <c r="C98" s="437"/>
      <c r="D98" s="1669"/>
      <c r="E98" s="1660"/>
      <c r="F98" s="1661"/>
      <c r="G98" s="1662"/>
      <c r="H98" s="1655"/>
      <c r="I98" s="437"/>
      <c r="J98" s="1669"/>
      <c r="K98" s="1660"/>
      <c r="L98" s="1661"/>
      <c r="M98" s="1662"/>
      <c r="N98" s="1178"/>
    </row>
    <row r="99" spans="1:14" ht="27" customHeight="1">
      <c r="A99" s="1174" t="s">
        <v>1286</v>
      </c>
      <c r="B99" s="1655">
        <f>SUM(B100:B103)</f>
        <v>3500</v>
      </c>
      <c r="C99" s="426">
        <f>(D99*1000)/B99</f>
        <v>4.285714285714286</v>
      </c>
      <c r="D99" s="1656">
        <f>SUM(D100)</f>
        <v>15</v>
      </c>
      <c r="E99" s="1648" t="s">
        <v>464</v>
      </c>
      <c r="F99" s="1649" t="s">
        <v>464</v>
      </c>
      <c r="G99" s="1650" t="s">
        <v>464</v>
      </c>
      <c r="H99" s="1648" t="s">
        <v>464</v>
      </c>
      <c r="I99" s="1649" t="s">
        <v>464</v>
      </c>
      <c r="J99" s="1650" t="s">
        <v>464</v>
      </c>
      <c r="K99" s="1648" t="s">
        <v>464</v>
      </c>
      <c r="L99" s="1649" t="s">
        <v>464</v>
      </c>
      <c r="M99" s="1650" t="s">
        <v>464</v>
      </c>
      <c r="N99" s="1167" t="s">
        <v>1286</v>
      </c>
    </row>
    <row r="100" spans="1:14" ht="27" customHeight="1">
      <c r="A100" s="1169" t="s">
        <v>586</v>
      </c>
      <c r="B100" s="1651">
        <v>3500</v>
      </c>
      <c r="C100" s="207">
        <f>(D100*1000)/B100</f>
        <v>4.285714285714286</v>
      </c>
      <c r="D100" s="1652">
        <v>15</v>
      </c>
      <c r="E100" s="1648" t="s">
        <v>464</v>
      </c>
      <c r="F100" s="1649" t="s">
        <v>464</v>
      </c>
      <c r="G100" s="1650" t="s">
        <v>464</v>
      </c>
      <c r="H100" s="1648" t="s">
        <v>464</v>
      </c>
      <c r="I100" s="1649" t="s">
        <v>464</v>
      </c>
      <c r="J100" s="1650" t="s">
        <v>464</v>
      </c>
      <c r="K100" s="1648" t="s">
        <v>464</v>
      </c>
      <c r="L100" s="1649" t="s">
        <v>464</v>
      </c>
      <c r="M100" s="1650" t="s">
        <v>464</v>
      </c>
      <c r="N100" s="1160" t="s">
        <v>586</v>
      </c>
    </row>
    <row r="101" spans="1:14" ht="27" customHeight="1">
      <c r="A101" s="1169" t="s">
        <v>587</v>
      </c>
      <c r="B101" s="1648" t="s">
        <v>464</v>
      </c>
      <c r="C101" s="1649" t="s">
        <v>464</v>
      </c>
      <c r="D101" s="1650" t="s">
        <v>464</v>
      </c>
      <c r="E101" s="1648" t="s">
        <v>464</v>
      </c>
      <c r="F101" s="1649" t="s">
        <v>464</v>
      </c>
      <c r="G101" s="1650" t="s">
        <v>464</v>
      </c>
      <c r="H101" s="1648" t="s">
        <v>464</v>
      </c>
      <c r="I101" s="1649" t="s">
        <v>464</v>
      </c>
      <c r="J101" s="1650" t="s">
        <v>464</v>
      </c>
      <c r="K101" s="1648" t="s">
        <v>464</v>
      </c>
      <c r="L101" s="1649" t="s">
        <v>464</v>
      </c>
      <c r="M101" s="1650" t="s">
        <v>464</v>
      </c>
      <c r="N101" s="1160" t="s">
        <v>587</v>
      </c>
    </row>
    <row r="102" spans="1:14" ht="27" customHeight="1">
      <c r="A102" s="1169"/>
      <c r="B102" s="1657"/>
      <c r="C102" s="1658"/>
      <c r="D102" s="1659"/>
      <c r="E102" s="1657"/>
      <c r="F102" s="1658"/>
      <c r="G102" s="1659"/>
      <c r="H102" s="1657"/>
      <c r="I102" s="1658"/>
      <c r="J102" s="1659"/>
      <c r="K102" s="1657"/>
      <c r="L102" s="1658"/>
      <c r="M102" s="1659"/>
      <c r="N102" s="1160"/>
    </row>
    <row r="103" spans="1:14" ht="27" customHeight="1">
      <c r="A103" s="1174" t="s">
        <v>1287</v>
      </c>
      <c r="B103" s="1648" t="s">
        <v>464</v>
      </c>
      <c r="C103" s="1649" t="s">
        <v>464</v>
      </c>
      <c r="D103" s="1650" t="s">
        <v>464</v>
      </c>
      <c r="E103" s="1648" t="s">
        <v>464</v>
      </c>
      <c r="F103" s="1649" t="s">
        <v>464</v>
      </c>
      <c r="G103" s="1650" t="s">
        <v>464</v>
      </c>
      <c r="H103" s="1648" t="s">
        <v>464</v>
      </c>
      <c r="I103" s="1649" t="s">
        <v>464</v>
      </c>
      <c r="J103" s="1650" t="s">
        <v>464</v>
      </c>
      <c r="K103" s="1648" t="s">
        <v>464</v>
      </c>
      <c r="L103" s="1649" t="s">
        <v>464</v>
      </c>
      <c r="M103" s="1650" t="s">
        <v>464</v>
      </c>
      <c r="N103" s="1167" t="s">
        <v>1287</v>
      </c>
    </row>
    <row r="104" spans="1:14" ht="27" customHeight="1">
      <c r="A104" s="1169" t="s">
        <v>1273</v>
      </c>
      <c r="B104" s="1648" t="s">
        <v>464</v>
      </c>
      <c r="C104" s="1649" t="s">
        <v>464</v>
      </c>
      <c r="D104" s="1650" t="s">
        <v>464</v>
      </c>
      <c r="E104" s="1648" t="s">
        <v>464</v>
      </c>
      <c r="F104" s="1649" t="s">
        <v>464</v>
      </c>
      <c r="G104" s="1650" t="s">
        <v>464</v>
      </c>
      <c r="H104" s="1648" t="s">
        <v>464</v>
      </c>
      <c r="I104" s="1649" t="s">
        <v>464</v>
      </c>
      <c r="J104" s="1650" t="s">
        <v>464</v>
      </c>
      <c r="K104" s="1648" t="s">
        <v>464</v>
      </c>
      <c r="L104" s="1649" t="s">
        <v>464</v>
      </c>
      <c r="M104" s="1650" t="s">
        <v>464</v>
      </c>
      <c r="N104" s="1160" t="s">
        <v>1273</v>
      </c>
    </row>
    <row r="105" spans="1:14" ht="27" customHeight="1">
      <c r="A105" s="1169" t="s">
        <v>596</v>
      </c>
      <c r="B105" s="1648" t="s">
        <v>464</v>
      </c>
      <c r="C105" s="1649" t="s">
        <v>464</v>
      </c>
      <c r="D105" s="1650" t="s">
        <v>464</v>
      </c>
      <c r="E105" s="1648" t="s">
        <v>464</v>
      </c>
      <c r="F105" s="1649" t="s">
        <v>464</v>
      </c>
      <c r="G105" s="1650" t="s">
        <v>464</v>
      </c>
      <c r="H105" s="1648" t="s">
        <v>464</v>
      </c>
      <c r="I105" s="1649" t="s">
        <v>464</v>
      </c>
      <c r="J105" s="1650" t="s">
        <v>464</v>
      </c>
      <c r="K105" s="1648" t="s">
        <v>464</v>
      </c>
      <c r="L105" s="1649" t="s">
        <v>464</v>
      </c>
      <c r="M105" s="1650" t="s">
        <v>464</v>
      </c>
      <c r="N105" s="1160" t="s">
        <v>596</v>
      </c>
    </row>
    <row r="106" spans="1:14" ht="27" customHeight="1" thickBot="1">
      <c r="A106" s="1180" t="s">
        <v>595</v>
      </c>
      <c r="B106" s="1663" t="s">
        <v>464</v>
      </c>
      <c r="C106" s="1664" t="s">
        <v>464</v>
      </c>
      <c r="D106" s="1665" t="s">
        <v>464</v>
      </c>
      <c r="E106" s="1663" t="s">
        <v>464</v>
      </c>
      <c r="F106" s="1664" t="s">
        <v>464</v>
      </c>
      <c r="G106" s="1665" t="s">
        <v>464</v>
      </c>
      <c r="H106" s="1663" t="s">
        <v>464</v>
      </c>
      <c r="I106" s="1664" t="s">
        <v>464</v>
      </c>
      <c r="J106" s="1665" t="s">
        <v>464</v>
      </c>
      <c r="K106" s="1663" t="s">
        <v>464</v>
      </c>
      <c r="L106" s="1664" t="s">
        <v>464</v>
      </c>
      <c r="M106" s="1665" t="s">
        <v>464</v>
      </c>
      <c r="N106" s="1186" t="s">
        <v>595</v>
      </c>
    </row>
    <row r="107" spans="1:3" ht="50.25" customHeight="1">
      <c r="A107" s="159" t="s">
        <v>227</v>
      </c>
      <c r="C107" s="159" t="s">
        <v>226</v>
      </c>
    </row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</sheetData>
  <sheetProtection/>
  <mergeCells count="4">
    <mergeCell ref="B37:G37"/>
    <mergeCell ref="H37:M37"/>
    <mergeCell ref="B75:G75"/>
    <mergeCell ref="H75:M75"/>
  </mergeCells>
  <printOptions/>
  <pageMargins left="0.62" right="0.5118110236220472" top="0.8661417322834646" bottom="0.984251968503937" header="0.5118110236220472" footer="0.5118110236220472"/>
  <pageSetup horizontalDpi="300" verticalDpi="300" orientation="portrait" paperSize="9" scale="3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5"/>
  <sheetViews>
    <sheetView zoomScale="67" zoomScaleNormal="67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2" sqref="K12"/>
    </sheetView>
  </sheetViews>
  <sheetFormatPr defaultColWidth="15.00390625" defaultRowHeight="12.75"/>
  <cols>
    <col min="1" max="1" width="32.421875" style="18" customWidth="1"/>
    <col min="2" max="7" width="15.00390625" style="2417" customWidth="1"/>
    <col min="8" max="8" width="15.00390625" style="2836" customWidth="1"/>
    <col min="9" max="16384" width="15.00390625" style="15" customWidth="1"/>
  </cols>
  <sheetData>
    <row r="1" spans="1:8" s="2805" customFormat="1" ht="23.25">
      <c r="A1" s="32" t="s">
        <v>208</v>
      </c>
      <c r="B1" s="2417"/>
      <c r="C1" s="2417"/>
      <c r="D1" s="2417"/>
      <c r="E1" s="2417"/>
      <c r="F1" s="2417"/>
      <c r="G1" s="2417"/>
      <c r="H1" s="2417"/>
    </row>
    <row r="2" ht="19.5" thickBot="1">
      <c r="H2" s="2417"/>
    </row>
    <row r="3" spans="1:8" ht="18.75">
      <c r="A3" s="2806" t="s">
        <v>745</v>
      </c>
      <c r="B3" s="2807" t="s">
        <v>746</v>
      </c>
      <c r="C3" s="2807" t="s">
        <v>747</v>
      </c>
      <c r="D3" s="2807" t="s">
        <v>748</v>
      </c>
      <c r="E3" s="2807" t="s">
        <v>586</v>
      </c>
      <c r="F3" s="2807" t="s">
        <v>1273</v>
      </c>
      <c r="G3" s="2807" t="s">
        <v>749</v>
      </c>
      <c r="H3" s="2807" t="s">
        <v>446</v>
      </c>
    </row>
    <row r="4" spans="1:8" ht="19.5" thickBot="1">
      <c r="A4" s="2808" t="s">
        <v>750</v>
      </c>
      <c r="B4" s="2809" t="s">
        <v>688</v>
      </c>
      <c r="C4" s="2809" t="s">
        <v>751</v>
      </c>
      <c r="D4" s="2809" t="s">
        <v>752</v>
      </c>
      <c r="E4" s="2809" t="s">
        <v>586</v>
      </c>
      <c r="F4" s="2809" t="s">
        <v>1273</v>
      </c>
      <c r="G4" s="2809" t="s">
        <v>579</v>
      </c>
      <c r="H4" s="2810"/>
    </row>
    <row r="5" spans="1:8" ht="19.5" thickBot="1">
      <c r="A5" s="2811" t="s">
        <v>473</v>
      </c>
      <c r="B5" s="2812">
        <f>SUM(B6,B8,B15,B17,B29,B38,B43,B46,B49,B53,B57,B61,B73,B74)</f>
        <v>2436.766</v>
      </c>
      <c r="C5" s="2812">
        <f>SUM(C6,C8,C15,C17,C29,C38,C43,C46,C49,C53,C57,C61,C73,C74)</f>
        <v>7610.706999999999</v>
      </c>
      <c r="D5" s="2812">
        <f>SUM(D6,D8,D15,D17,D29,D38,D43,D46,D49,D53,D57,D61,D73,D74)</f>
        <v>5134.706</v>
      </c>
      <c r="E5" s="2812">
        <f>SUM(E6,E8,E15,E17,E29,E38,E43,E46,E49,E53,E57,E61,E73,E74)</f>
        <v>50784.219</v>
      </c>
      <c r="F5" s="2812">
        <f>SUM(F6,F8,F15,F17,F29,F38,F43,F46,F49,F53,F57,F61,F73,F74)</f>
        <v>3879.174</v>
      </c>
      <c r="G5" s="2812">
        <f>SUM(B5:F5)</f>
        <v>69845.572</v>
      </c>
      <c r="H5" s="2813">
        <v>100</v>
      </c>
    </row>
    <row r="6" spans="1:8" ht="18.75">
      <c r="A6" s="2814" t="s">
        <v>753</v>
      </c>
      <c r="B6" s="2815"/>
      <c r="C6" s="2816"/>
      <c r="D6" s="2816"/>
      <c r="E6" s="2816"/>
      <c r="F6" s="2816"/>
      <c r="G6" s="2815"/>
      <c r="H6" s="2817"/>
    </row>
    <row r="7" spans="1:8" ht="19.5" thickBot="1">
      <c r="A7" s="2818" t="s">
        <v>397</v>
      </c>
      <c r="B7" s="2819" t="s">
        <v>464</v>
      </c>
      <c r="C7" s="2819" t="s">
        <v>464</v>
      </c>
      <c r="D7" s="2819" t="s">
        <v>464</v>
      </c>
      <c r="E7" s="2819" t="s">
        <v>464</v>
      </c>
      <c r="F7" s="2819" t="s">
        <v>464</v>
      </c>
      <c r="G7" s="2819" t="s">
        <v>464</v>
      </c>
      <c r="H7" s="2820" t="s">
        <v>464</v>
      </c>
    </row>
    <row r="8" spans="1:8" ht="18.75">
      <c r="A8" s="2814" t="s">
        <v>398</v>
      </c>
      <c r="B8" s="2816">
        <f>SUM(B9:B14)</f>
        <v>0</v>
      </c>
      <c r="C8" s="2816">
        <f>SUM(C9:C14)</f>
        <v>3463</v>
      </c>
      <c r="D8" s="2816">
        <f>SUM(D9:D14)</f>
        <v>43</v>
      </c>
      <c r="E8" s="2816">
        <f>SUM(E9:E14)</f>
        <v>3424</v>
      </c>
      <c r="F8" s="2816">
        <f>SUM(F9:F14)</f>
        <v>1806</v>
      </c>
      <c r="G8" s="2816">
        <f aca="true" t="shared" si="0" ref="G8:G72">SUM(B8:F8)</f>
        <v>8736</v>
      </c>
      <c r="H8" s="2821">
        <f>(G8*100)/G5</f>
        <v>12.507593179994288</v>
      </c>
    </row>
    <row r="9" spans="1:8" ht="18.75">
      <c r="A9" s="2822" t="s">
        <v>399</v>
      </c>
      <c r="B9" s="2823" t="s">
        <v>464</v>
      </c>
      <c r="C9" s="2824">
        <v>2970</v>
      </c>
      <c r="D9" s="2824"/>
      <c r="E9" s="2824">
        <v>2775</v>
      </c>
      <c r="F9" s="2824">
        <v>1742</v>
      </c>
      <c r="G9" s="2824">
        <f aca="true" t="shared" si="1" ref="G9:G14">SUM(B9:F9)</f>
        <v>7487</v>
      </c>
      <c r="H9" s="2824"/>
    </row>
    <row r="10" spans="1:8" ht="18.75">
      <c r="A10" s="2822" t="s">
        <v>400</v>
      </c>
      <c r="B10" s="2823" t="s">
        <v>464</v>
      </c>
      <c r="C10" s="2823" t="s">
        <v>464</v>
      </c>
      <c r="D10" s="2823" t="s">
        <v>464</v>
      </c>
      <c r="E10" s="2823">
        <v>141</v>
      </c>
      <c r="F10" s="2823">
        <v>3</v>
      </c>
      <c r="G10" s="2824">
        <f t="shared" si="1"/>
        <v>144</v>
      </c>
      <c r="H10" s="2824"/>
    </row>
    <row r="11" spans="1:8" ht="18.75">
      <c r="A11" s="2822" t="s">
        <v>401</v>
      </c>
      <c r="B11" s="2823" t="s">
        <v>464</v>
      </c>
      <c r="C11" s="2824">
        <v>446</v>
      </c>
      <c r="D11" s="2824">
        <v>38</v>
      </c>
      <c r="E11" s="2824">
        <v>463</v>
      </c>
      <c r="F11" s="2824">
        <v>60</v>
      </c>
      <c r="G11" s="2824">
        <f t="shared" si="1"/>
        <v>1007</v>
      </c>
      <c r="H11" s="2824"/>
    </row>
    <row r="12" spans="1:8" ht="18.75">
      <c r="A12" s="2822" t="s">
        <v>402</v>
      </c>
      <c r="B12" s="2823"/>
      <c r="C12" s="2823" t="s">
        <v>464</v>
      </c>
      <c r="D12" s="2823" t="s">
        <v>464</v>
      </c>
      <c r="E12" s="2823">
        <v>6</v>
      </c>
      <c r="F12" s="2823" t="s">
        <v>464</v>
      </c>
      <c r="G12" s="2824">
        <f t="shared" si="1"/>
        <v>6</v>
      </c>
      <c r="H12" s="2824"/>
    </row>
    <row r="13" spans="1:8" ht="18.75">
      <c r="A13" s="2822" t="s">
        <v>403</v>
      </c>
      <c r="B13" s="2823" t="s">
        <v>464</v>
      </c>
      <c r="C13" s="2824">
        <v>21</v>
      </c>
      <c r="D13" s="2823">
        <v>4</v>
      </c>
      <c r="E13" s="2823">
        <v>11</v>
      </c>
      <c r="F13" s="2823" t="s">
        <v>464</v>
      </c>
      <c r="G13" s="2824">
        <f t="shared" si="1"/>
        <v>36</v>
      </c>
      <c r="H13" s="2824"/>
    </row>
    <row r="14" spans="1:8" ht="18.75">
      <c r="A14" s="2822" t="s">
        <v>404</v>
      </c>
      <c r="B14" s="2823" t="s">
        <v>464</v>
      </c>
      <c r="C14" s="2824">
        <v>26</v>
      </c>
      <c r="D14" s="2823">
        <v>1</v>
      </c>
      <c r="E14" s="2823">
        <v>28</v>
      </c>
      <c r="F14" s="2823">
        <v>1</v>
      </c>
      <c r="G14" s="2824">
        <f t="shared" si="1"/>
        <v>56</v>
      </c>
      <c r="H14" s="2824"/>
    </row>
    <row r="15" spans="1:8" ht="18.75">
      <c r="A15" s="2825" t="s">
        <v>405</v>
      </c>
      <c r="B15" s="2826">
        <f>B16</f>
        <v>467</v>
      </c>
      <c r="C15" s="2826">
        <f>C16</f>
        <v>300</v>
      </c>
      <c r="D15" s="2826">
        <f>D16</f>
        <v>0</v>
      </c>
      <c r="E15" s="2826">
        <f>E16</f>
        <v>337</v>
      </c>
      <c r="F15" s="2826" t="str">
        <f>F16</f>
        <v>-</v>
      </c>
      <c r="G15" s="2826">
        <f t="shared" si="0"/>
        <v>1104</v>
      </c>
      <c r="H15" s="2827">
        <f>(G15*100)/G5</f>
        <v>1.5806299073619154</v>
      </c>
    </row>
    <row r="16" spans="1:8" ht="19.5" thickBot="1">
      <c r="A16" s="2818" t="s">
        <v>406</v>
      </c>
      <c r="B16" s="2828">
        <v>467</v>
      </c>
      <c r="C16" s="2828">
        <v>300</v>
      </c>
      <c r="D16" s="2828"/>
      <c r="E16" s="2828">
        <v>337</v>
      </c>
      <c r="F16" s="2819" t="s">
        <v>464</v>
      </c>
      <c r="G16" s="2828">
        <f>SUM(B16:F16)</f>
        <v>1104</v>
      </c>
      <c r="H16" s="2829"/>
    </row>
    <row r="17" spans="1:8" s="1391" customFormat="1" ht="45.75" customHeight="1">
      <c r="A17" s="2830" t="s">
        <v>407</v>
      </c>
      <c r="B17" s="2831">
        <f>SUM(B18:B28)</f>
        <v>338</v>
      </c>
      <c r="C17" s="2831">
        <f>SUM(C18:C28)</f>
        <v>1020</v>
      </c>
      <c r="D17" s="2831">
        <f>SUM(D18:D28)</f>
        <v>187</v>
      </c>
      <c r="E17" s="2831">
        <f>SUM(E18:E28)</f>
        <v>1318</v>
      </c>
      <c r="F17" s="2831">
        <f>SUM(F18:F28)</f>
        <v>229.5</v>
      </c>
      <c r="G17" s="2831">
        <f t="shared" si="0"/>
        <v>3092.5</v>
      </c>
      <c r="H17" s="2832">
        <f>(G17*100)/G5</f>
        <v>4.427624989598482</v>
      </c>
    </row>
    <row r="18" spans="1:8" ht="18.75">
      <c r="A18" s="2822" t="s">
        <v>408</v>
      </c>
      <c r="B18" s="2823" t="s">
        <v>464</v>
      </c>
      <c r="C18" s="2823">
        <v>2</v>
      </c>
      <c r="D18" s="2823" t="s">
        <v>464</v>
      </c>
      <c r="E18" s="2823">
        <v>1</v>
      </c>
      <c r="F18" s="2823" t="s">
        <v>464</v>
      </c>
      <c r="G18" s="2824">
        <f t="shared" si="0"/>
        <v>3</v>
      </c>
      <c r="H18" s="2824"/>
    </row>
    <row r="19" spans="1:8" ht="18.75">
      <c r="A19" s="2822" t="s">
        <v>409</v>
      </c>
      <c r="B19" s="2824">
        <v>220</v>
      </c>
      <c r="C19" s="2824">
        <v>556</v>
      </c>
      <c r="D19" s="2823" t="s">
        <v>464</v>
      </c>
      <c r="E19" s="2824">
        <v>381</v>
      </c>
      <c r="F19" s="2824">
        <v>174</v>
      </c>
      <c r="G19" s="2824">
        <f t="shared" si="0"/>
        <v>1331</v>
      </c>
      <c r="H19" s="2824"/>
    </row>
    <row r="20" spans="1:8" ht="18.75">
      <c r="A20" s="2822" t="s">
        <v>410</v>
      </c>
      <c r="B20" s="2823" t="s">
        <v>464</v>
      </c>
      <c r="C20" s="2824">
        <v>90</v>
      </c>
      <c r="D20" s="2824">
        <v>48</v>
      </c>
      <c r="E20" s="2824">
        <v>248</v>
      </c>
      <c r="F20" s="2824">
        <v>18</v>
      </c>
      <c r="G20" s="2824">
        <f t="shared" si="0"/>
        <v>404</v>
      </c>
      <c r="H20" s="2824"/>
    </row>
    <row r="21" spans="1:8" ht="18.75">
      <c r="A21" s="2822" t="s">
        <v>411</v>
      </c>
      <c r="B21" s="2823" t="s">
        <v>464</v>
      </c>
      <c r="C21" s="2823">
        <v>9</v>
      </c>
      <c r="D21" s="2823">
        <v>5</v>
      </c>
      <c r="E21" s="2823">
        <v>91</v>
      </c>
      <c r="F21" s="2823">
        <v>2</v>
      </c>
      <c r="G21" s="2824">
        <f t="shared" si="0"/>
        <v>107</v>
      </c>
      <c r="H21" s="2824"/>
    </row>
    <row r="22" spans="1:8" ht="18.75">
      <c r="A22" s="2822" t="s">
        <v>412</v>
      </c>
      <c r="B22" s="2823" t="s">
        <v>464</v>
      </c>
      <c r="C22" s="2823">
        <v>6</v>
      </c>
      <c r="D22" s="2823">
        <v>3</v>
      </c>
      <c r="E22" s="2823">
        <v>9.5</v>
      </c>
      <c r="F22" s="2823">
        <v>0.5</v>
      </c>
      <c r="G22" s="2824">
        <f t="shared" si="0"/>
        <v>19</v>
      </c>
      <c r="H22" s="2824"/>
    </row>
    <row r="23" spans="1:8" ht="18.75">
      <c r="A23" s="2822" t="s">
        <v>413</v>
      </c>
      <c r="B23" s="2824">
        <v>8</v>
      </c>
      <c r="C23" s="2824">
        <v>98</v>
      </c>
      <c r="D23" s="2824">
        <v>14</v>
      </c>
      <c r="E23" s="2824">
        <v>125.5</v>
      </c>
      <c r="F23" s="2824">
        <v>2.5</v>
      </c>
      <c r="G23" s="2824">
        <f t="shared" si="0"/>
        <v>248</v>
      </c>
      <c r="H23" s="2824"/>
    </row>
    <row r="24" spans="1:8" ht="18.75">
      <c r="A24" s="2822" t="s">
        <v>414</v>
      </c>
      <c r="B24" s="2824">
        <v>110</v>
      </c>
      <c r="C24" s="2824">
        <v>53</v>
      </c>
      <c r="D24" s="2824">
        <v>1</v>
      </c>
      <c r="E24" s="2824">
        <v>70</v>
      </c>
      <c r="F24" s="2824">
        <v>2</v>
      </c>
      <c r="G24" s="2824">
        <f t="shared" si="0"/>
        <v>236</v>
      </c>
      <c r="H24" s="2824"/>
    </row>
    <row r="25" spans="1:8" ht="18.75">
      <c r="A25" s="2822" t="s">
        <v>772</v>
      </c>
      <c r="B25" s="2823" t="s">
        <v>464</v>
      </c>
      <c r="C25" s="2824">
        <v>15</v>
      </c>
      <c r="D25" s="2824">
        <v>12</v>
      </c>
      <c r="E25" s="2824">
        <v>36</v>
      </c>
      <c r="F25" s="2824">
        <v>1</v>
      </c>
      <c r="G25" s="2824">
        <f t="shared" si="0"/>
        <v>64</v>
      </c>
      <c r="H25" s="2824"/>
    </row>
    <row r="26" spans="1:8" ht="18.75">
      <c r="A26" s="2822" t="s">
        <v>773</v>
      </c>
      <c r="B26" s="2823" t="s">
        <v>464</v>
      </c>
      <c r="C26" s="2824">
        <v>38</v>
      </c>
      <c r="D26" s="2824">
        <v>4</v>
      </c>
      <c r="E26" s="2824">
        <v>37</v>
      </c>
      <c r="F26" s="2824">
        <v>7</v>
      </c>
      <c r="G26" s="2824">
        <f t="shared" si="0"/>
        <v>86</v>
      </c>
      <c r="H26" s="2824"/>
    </row>
    <row r="27" spans="1:8" ht="18.75">
      <c r="A27" s="2822" t="s">
        <v>774</v>
      </c>
      <c r="B27" s="2823" t="s">
        <v>464</v>
      </c>
      <c r="C27" s="2824">
        <v>105</v>
      </c>
      <c r="D27" s="2824">
        <v>94</v>
      </c>
      <c r="E27" s="2824">
        <v>294</v>
      </c>
      <c r="F27" s="2824">
        <v>21.5</v>
      </c>
      <c r="G27" s="2824">
        <f t="shared" si="0"/>
        <v>514.5</v>
      </c>
      <c r="H27" s="2824"/>
    </row>
    <row r="28" spans="1:8" ht="18.75">
      <c r="A28" s="2822" t="s">
        <v>793</v>
      </c>
      <c r="B28" s="2823" t="s">
        <v>464</v>
      </c>
      <c r="C28" s="2824">
        <v>48</v>
      </c>
      <c r="D28" s="2823">
        <v>6</v>
      </c>
      <c r="E28" s="2823">
        <v>25</v>
      </c>
      <c r="F28" s="2823">
        <v>1</v>
      </c>
      <c r="G28" s="2824">
        <f t="shared" si="0"/>
        <v>80</v>
      </c>
      <c r="H28" s="2824"/>
    </row>
    <row r="29" spans="1:8" ht="18.75">
      <c r="A29" s="2825" t="s">
        <v>794</v>
      </c>
      <c r="B29" s="2826">
        <f>SUM(B30:B37)</f>
        <v>666</v>
      </c>
      <c r="C29" s="2826">
        <f>SUM(C30:C37)</f>
        <v>628</v>
      </c>
      <c r="D29" s="2826">
        <f>SUM(D30:D37)</f>
        <v>1009</v>
      </c>
      <c r="E29" s="2826">
        <f>SUM(E30:E37)</f>
        <v>1544</v>
      </c>
      <c r="F29" s="2826">
        <f>SUM(F30:F37)</f>
        <v>266</v>
      </c>
      <c r="G29" s="2826">
        <f>SUM(B29:F29)</f>
        <v>4113</v>
      </c>
      <c r="H29" s="2827">
        <f>(G29*100)/G5</f>
        <v>5.888705442916267</v>
      </c>
    </row>
    <row r="30" spans="1:8" ht="18.75">
      <c r="A30" s="2822" t="s">
        <v>795</v>
      </c>
      <c r="B30" s="2824">
        <v>93</v>
      </c>
      <c r="C30" s="2824">
        <v>22</v>
      </c>
      <c r="D30" s="2824">
        <v>554</v>
      </c>
      <c r="E30" s="2824">
        <v>274</v>
      </c>
      <c r="F30" s="2824">
        <v>29</v>
      </c>
      <c r="G30" s="2824">
        <f t="shared" si="0"/>
        <v>972</v>
      </c>
      <c r="H30" s="2824"/>
    </row>
    <row r="31" spans="1:8" ht="18.75">
      <c r="A31" s="2822" t="s">
        <v>796</v>
      </c>
      <c r="B31" s="2823" t="s">
        <v>464</v>
      </c>
      <c r="C31" s="2824">
        <v>26</v>
      </c>
      <c r="D31" s="2824">
        <v>26</v>
      </c>
      <c r="E31" s="2824">
        <v>147</v>
      </c>
      <c r="F31" s="2824">
        <v>51</v>
      </c>
      <c r="G31" s="2824">
        <f t="shared" si="0"/>
        <v>250</v>
      </c>
      <c r="H31" s="2824"/>
    </row>
    <row r="32" spans="1:8" ht="18.75">
      <c r="A32" s="2822" t="s">
        <v>797</v>
      </c>
      <c r="B32" s="2824">
        <v>14</v>
      </c>
      <c r="C32" s="2824">
        <v>6</v>
      </c>
      <c r="D32" s="2824">
        <v>46</v>
      </c>
      <c r="E32" s="2824">
        <v>145</v>
      </c>
      <c r="F32" s="2824">
        <v>22</v>
      </c>
      <c r="G32" s="2824">
        <f t="shared" si="0"/>
        <v>233</v>
      </c>
      <c r="H32" s="2824"/>
    </row>
    <row r="33" spans="1:8" ht="18.75">
      <c r="A33" s="2822" t="s">
        <v>798</v>
      </c>
      <c r="B33" s="2824">
        <v>2</v>
      </c>
      <c r="C33" s="2824">
        <v>16</v>
      </c>
      <c r="D33" s="2824">
        <v>17</v>
      </c>
      <c r="E33" s="2824">
        <v>101</v>
      </c>
      <c r="F33" s="2824">
        <v>1</v>
      </c>
      <c r="G33" s="2824">
        <f t="shared" si="0"/>
        <v>137</v>
      </c>
      <c r="H33" s="2824"/>
    </row>
    <row r="34" spans="1:8" ht="18.75">
      <c r="A34" s="2822" t="s">
        <v>799</v>
      </c>
      <c r="B34" s="2824">
        <v>3</v>
      </c>
      <c r="C34" s="2824">
        <v>5</v>
      </c>
      <c r="D34" s="2824">
        <v>48</v>
      </c>
      <c r="E34" s="2824">
        <v>168</v>
      </c>
      <c r="F34" s="2824">
        <v>1</v>
      </c>
      <c r="G34" s="2824">
        <f t="shared" si="0"/>
        <v>225</v>
      </c>
      <c r="H34" s="2824"/>
    </row>
    <row r="35" spans="1:8" ht="18.75">
      <c r="A35" s="2822" t="s">
        <v>800</v>
      </c>
      <c r="B35" s="2824">
        <v>45</v>
      </c>
      <c r="C35" s="2824">
        <v>35</v>
      </c>
      <c r="D35" s="2824">
        <v>25</v>
      </c>
      <c r="E35" s="2824">
        <v>94</v>
      </c>
      <c r="F35" s="2823">
        <v>1</v>
      </c>
      <c r="G35" s="2824">
        <f t="shared" si="0"/>
        <v>200</v>
      </c>
      <c r="H35" s="2824"/>
    </row>
    <row r="36" spans="1:8" ht="18.75">
      <c r="A36" s="2822" t="s">
        <v>801</v>
      </c>
      <c r="B36" s="2824">
        <v>277</v>
      </c>
      <c r="C36" s="2824">
        <v>130</v>
      </c>
      <c r="D36" s="2824">
        <v>98</v>
      </c>
      <c r="E36" s="2824">
        <v>182</v>
      </c>
      <c r="F36" s="2824">
        <v>47</v>
      </c>
      <c r="G36" s="2824">
        <f t="shared" si="0"/>
        <v>734</v>
      </c>
      <c r="H36" s="2824"/>
    </row>
    <row r="37" spans="1:8" ht="18.75">
      <c r="A37" s="2822" t="s">
        <v>802</v>
      </c>
      <c r="B37" s="2824">
        <v>232</v>
      </c>
      <c r="C37" s="2824">
        <v>388</v>
      </c>
      <c r="D37" s="2824">
        <v>195</v>
      </c>
      <c r="E37" s="2824">
        <v>433</v>
      </c>
      <c r="F37" s="2824">
        <v>114</v>
      </c>
      <c r="G37" s="2824">
        <f t="shared" si="0"/>
        <v>1362</v>
      </c>
      <c r="H37" s="2824"/>
    </row>
    <row r="38" spans="1:8" ht="18.75">
      <c r="A38" s="2825" t="s">
        <v>803</v>
      </c>
      <c r="B38" s="2826">
        <f>SUM(B39:B42)</f>
        <v>60</v>
      </c>
      <c r="C38" s="2826">
        <f>SUM(C39:C42)</f>
        <v>185</v>
      </c>
      <c r="D38" s="2826">
        <f>SUM(D39:D42)</f>
        <v>135</v>
      </c>
      <c r="E38" s="2826">
        <f>SUM(E39:E42)</f>
        <v>1281</v>
      </c>
      <c r="F38" s="2826">
        <f>SUM(F39:F42)</f>
        <v>200.5</v>
      </c>
      <c r="G38" s="2826">
        <f>SUM(B38:F38)</f>
        <v>1861.5</v>
      </c>
      <c r="H38" s="2827">
        <f>(G38*100)/G5</f>
        <v>2.6651653736904035</v>
      </c>
    </row>
    <row r="39" spans="1:8" ht="18.75">
      <c r="A39" s="2822" t="s">
        <v>804</v>
      </c>
      <c r="B39" s="2823" t="s">
        <v>464</v>
      </c>
      <c r="C39" s="2824"/>
      <c r="D39" s="2823">
        <v>2</v>
      </c>
      <c r="E39" s="2823">
        <v>329</v>
      </c>
      <c r="F39" s="2823">
        <v>17</v>
      </c>
      <c r="G39" s="2824">
        <f t="shared" si="0"/>
        <v>348</v>
      </c>
      <c r="H39" s="2824"/>
    </row>
    <row r="40" spans="1:8" ht="18.75">
      <c r="A40" s="2822" t="s">
        <v>805</v>
      </c>
      <c r="B40" s="2823" t="s">
        <v>464</v>
      </c>
      <c r="C40" s="2824">
        <v>28</v>
      </c>
      <c r="D40" s="2824">
        <v>36</v>
      </c>
      <c r="E40" s="2824">
        <v>348</v>
      </c>
      <c r="F40" s="2824">
        <v>20</v>
      </c>
      <c r="G40" s="2824">
        <f t="shared" si="0"/>
        <v>432</v>
      </c>
      <c r="H40" s="2824"/>
    </row>
    <row r="41" spans="1:8" ht="18.75">
      <c r="A41" s="2822" t="s">
        <v>1059</v>
      </c>
      <c r="B41" s="2824">
        <v>2</v>
      </c>
      <c r="C41" s="2824">
        <v>49</v>
      </c>
      <c r="D41" s="2824">
        <v>24</v>
      </c>
      <c r="E41" s="2824">
        <v>363</v>
      </c>
      <c r="F41" s="2824">
        <v>110.5</v>
      </c>
      <c r="G41" s="2824">
        <f t="shared" si="0"/>
        <v>548.5</v>
      </c>
      <c r="H41" s="2824"/>
    </row>
    <row r="42" spans="1:8" ht="18.75">
      <c r="A42" s="2822" t="s">
        <v>806</v>
      </c>
      <c r="B42" s="2824">
        <v>58</v>
      </c>
      <c r="C42" s="2824">
        <v>108</v>
      </c>
      <c r="D42" s="2824">
        <v>73</v>
      </c>
      <c r="E42" s="2824">
        <v>241</v>
      </c>
      <c r="F42" s="2824">
        <v>53</v>
      </c>
      <c r="G42" s="2824">
        <f t="shared" si="0"/>
        <v>533</v>
      </c>
      <c r="H42" s="2824"/>
    </row>
    <row r="43" spans="1:8" ht="18.75">
      <c r="A43" s="2825" t="s">
        <v>807</v>
      </c>
      <c r="B43" s="2826">
        <f>SUM(B44:B45)</f>
        <v>0</v>
      </c>
      <c r="C43" s="2826">
        <f>SUM(C44:C45)</f>
        <v>18</v>
      </c>
      <c r="D43" s="2826">
        <f>SUM(D44:D45)</f>
        <v>1</v>
      </c>
      <c r="E43" s="2826">
        <f>SUM(E44:E45)</f>
        <v>132.5</v>
      </c>
      <c r="F43" s="2826">
        <f>SUM(F44:F45)</f>
        <v>1</v>
      </c>
      <c r="G43" s="2826">
        <f>SUM(B43:F43)</f>
        <v>152.5</v>
      </c>
      <c r="H43" s="2827">
        <f>(G43*100)/G5</f>
        <v>0.2183388232542501</v>
      </c>
    </row>
    <row r="44" spans="1:8" ht="18.75">
      <c r="A44" s="2822" t="s">
        <v>808</v>
      </c>
      <c r="B44" s="2823" t="s">
        <v>464</v>
      </c>
      <c r="C44" s="2824">
        <v>8</v>
      </c>
      <c r="D44" s="2823" t="s">
        <v>464</v>
      </c>
      <c r="E44" s="2823">
        <v>128</v>
      </c>
      <c r="F44" s="2823" t="s">
        <v>464</v>
      </c>
      <c r="G44" s="2824">
        <f t="shared" si="0"/>
        <v>136</v>
      </c>
      <c r="H44" s="2824"/>
    </row>
    <row r="45" spans="1:8" ht="18.75">
      <c r="A45" s="2822" t="s">
        <v>809</v>
      </c>
      <c r="B45" s="2823" t="s">
        <v>464</v>
      </c>
      <c r="C45" s="2824">
        <v>10</v>
      </c>
      <c r="D45" s="2823">
        <v>1</v>
      </c>
      <c r="E45" s="2823">
        <v>4.5</v>
      </c>
      <c r="F45" s="2823">
        <v>1</v>
      </c>
      <c r="G45" s="2824">
        <f t="shared" si="0"/>
        <v>16.5</v>
      </c>
      <c r="H45" s="2824"/>
    </row>
    <row r="46" spans="1:8" ht="18.75">
      <c r="A46" s="2825" t="s">
        <v>810</v>
      </c>
      <c r="B46" s="2826">
        <f>SUM(B47:B48)</f>
        <v>0</v>
      </c>
      <c r="C46" s="2826">
        <f>SUM(C47:C48)</f>
        <v>51</v>
      </c>
      <c r="D46" s="2826">
        <f>SUM(D47:D48)</f>
        <v>48</v>
      </c>
      <c r="E46" s="2826">
        <f>SUM(E47:E48)</f>
        <v>250.5</v>
      </c>
      <c r="F46" s="2826">
        <f>SUM(F47:F48)</f>
        <v>2</v>
      </c>
      <c r="G46" s="2826">
        <f>SUM(B46:F46)</f>
        <v>351.5</v>
      </c>
      <c r="H46" s="2827">
        <f>(G46*100)/G5</f>
        <v>0.5032530909761895</v>
      </c>
    </row>
    <row r="47" spans="1:8" ht="18.75">
      <c r="A47" s="2822" t="s">
        <v>811</v>
      </c>
      <c r="B47" s="2823" t="s">
        <v>464</v>
      </c>
      <c r="C47" s="2824">
        <v>44</v>
      </c>
      <c r="D47" s="2824">
        <v>39</v>
      </c>
      <c r="E47" s="2824">
        <v>226.5</v>
      </c>
      <c r="F47" s="2824">
        <v>1</v>
      </c>
      <c r="G47" s="2824">
        <f t="shared" si="0"/>
        <v>310.5</v>
      </c>
      <c r="H47" s="2824"/>
    </row>
    <row r="48" spans="1:8" ht="18.75">
      <c r="A48" s="2822" t="s">
        <v>812</v>
      </c>
      <c r="B48" s="2823" t="s">
        <v>464</v>
      </c>
      <c r="C48" s="2824">
        <v>7</v>
      </c>
      <c r="D48" s="2824">
        <v>9</v>
      </c>
      <c r="E48" s="2824">
        <v>24</v>
      </c>
      <c r="F48" s="2824">
        <v>1</v>
      </c>
      <c r="G48" s="2824">
        <f t="shared" si="0"/>
        <v>41</v>
      </c>
      <c r="H48" s="2824"/>
    </row>
    <row r="49" spans="1:8" ht="18.75">
      <c r="A49" s="2825" t="s">
        <v>813</v>
      </c>
      <c r="B49" s="2826">
        <f>SUM(B50:B52)</f>
        <v>240.28</v>
      </c>
      <c r="C49" s="2826">
        <f>SUM(C50:C52)</f>
        <v>462.59</v>
      </c>
      <c r="D49" s="2826">
        <f>SUM(D50:D52)</f>
        <v>451.106</v>
      </c>
      <c r="E49" s="2826">
        <f>SUM(E50:E52)</f>
        <v>238.08</v>
      </c>
      <c r="F49" s="2826">
        <f>SUM(F50:F52)</f>
        <v>641.49</v>
      </c>
      <c r="G49" s="2826">
        <f>SUM(B49:F49)</f>
        <v>2033.546</v>
      </c>
      <c r="H49" s="2827">
        <f>(G49*100)/G5</f>
        <v>2.9114887913009</v>
      </c>
    </row>
    <row r="50" spans="1:8" ht="18.75">
      <c r="A50" s="2822" t="s">
        <v>814</v>
      </c>
      <c r="B50" s="2824">
        <v>220.28</v>
      </c>
      <c r="C50" s="2824">
        <v>338</v>
      </c>
      <c r="D50" s="2824">
        <v>405.44</v>
      </c>
      <c r="E50" s="2824">
        <v>135.68</v>
      </c>
      <c r="F50" s="2824">
        <v>546.16</v>
      </c>
      <c r="G50" s="2824">
        <f t="shared" si="0"/>
        <v>1645.56</v>
      </c>
      <c r="H50" s="2824"/>
    </row>
    <row r="51" spans="1:8" ht="18.75">
      <c r="A51" s="2822" t="s">
        <v>815</v>
      </c>
      <c r="B51" s="2823">
        <v>20</v>
      </c>
      <c r="C51" s="2824">
        <v>111.06</v>
      </c>
      <c r="D51" s="2824">
        <v>10</v>
      </c>
      <c r="E51" s="2823" t="s">
        <v>464</v>
      </c>
      <c r="F51" s="2824">
        <v>92</v>
      </c>
      <c r="G51" s="2824">
        <f t="shared" si="0"/>
        <v>233.06</v>
      </c>
      <c r="H51" s="2824"/>
    </row>
    <row r="52" spans="1:8" ht="18.75">
      <c r="A52" s="2822" t="s">
        <v>816</v>
      </c>
      <c r="B52" s="2823" t="s">
        <v>464</v>
      </c>
      <c r="C52" s="2824">
        <v>13.53</v>
      </c>
      <c r="D52" s="2824">
        <v>35.666</v>
      </c>
      <c r="E52" s="2824">
        <v>102.4</v>
      </c>
      <c r="F52" s="2824">
        <v>3.33</v>
      </c>
      <c r="G52" s="2824">
        <f t="shared" si="0"/>
        <v>154.92600000000002</v>
      </c>
      <c r="H52" s="2824"/>
    </row>
    <row r="53" spans="1:8" ht="18.75">
      <c r="A53" s="2825" t="s">
        <v>817</v>
      </c>
      <c r="B53" s="2826">
        <f>SUM(B54:B56)</f>
        <v>51.126999999999995</v>
      </c>
      <c r="C53" s="2826">
        <f>SUM(C54:C56)</f>
        <v>140.235</v>
      </c>
      <c r="D53" s="2826">
        <f>SUM(D54:D56)</f>
        <v>122.38</v>
      </c>
      <c r="E53" s="2826">
        <f>SUM(E54:E56)</f>
        <v>270.16</v>
      </c>
      <c r="F53" s="2826">
        <f>SUM(F54:F56)</f>
        <v>61.019999999999996</v>
      </c>
      <c r="G53" s="2826">
        <f>SUM(B53:F53)</f>
        <v>644.922</v>
      </c>
      <c r="H53" s="2827">
        <f>(G53*100)/G5</f>
        <v>0.9233541676772294</v>
      </c>
    </row>
    <row r="54" spans="1:8" ht="18.75">
      <c r="A54" s="2822" t="s">
        <v>818</v>
      </c>
      <c r="B54" s="2824">
        <v>23.772</v>
      </c>
      <c r="C54" s="2824">
        <v>61.13</v>
      </c>
      <c r="D54" s="2824">
        <v>40.5</v>
      </c>
      <c r="E54" s="2824">
        <v>185.68</v>
      </c>
      <c r="F54" s="2824">
        <v>12.27</v>
      </c>
      <c r="G54" s="2824">
        <f t="shared" si="0"/>
        <v>323.352</v>
      </c>
      <c r="H54" s="2824"/>
    </row>
    <row r="55" spans="1:8" ht="18.75">
      <c r="A55" s="2822" t="s">
        <v>819</v>
      </c>
      <c r="B55" s="2824">
        <v>0.56</v>
      </c>
      <c r="C55" s="2824">
        <v>12.56</v>
      </c>
      <c r="D55" s="2823" t="s">
        <v>464</v>
      </c>
      <c r="E55" s="2823">
        <v>8.4</v>
      </c>
      <c r="F55" s="2823" t="s">
        <v>464</v>
      </c>
      <c r="G55" s="2824">
        <f t="shared" si="0"/>
        <v>21.520000000000003</v>
      </c>
      <c r="H55" s="2824"/>
    </row>
    <row r="56" spans="1:8" ht="18.75">
      <c r="A56" s="2822" t="s">
        <v>820</v>
      </c>
      <c r="B56" s="2824">
        <v>26.795</v>
      </c>
      <c r="C56" s="2824">
        <v>66.545</v>
      </c>
      <c r="D56" s="2824">
        <v>81.88</v>
      </c>
      <c r="E56" s="2824">
        <v>76.08</v>
      </c>
      <c r="F56" s="2824">
        <v>48.75</v>
      </c>
      <c r="G56" s="2824">
        <f t="shared" si="0"/>
        <v>300.05</v>
      </c>
      <c r="H56" s="2824"/>
    </row>
    <row r="57" spans="1:8" ht="18.75">
      <c r="A57" s="2825" t="s">
        <v>821</v>
      </c>
      <c r="B57" s="2826">
        <f>SUM(B58:B60)</f>
        <v>186.573</v>
      </c>
      <c r="C57" s="2826">
        <f>SUM(C58:C60)</f>
        <v>160.311</v>
      </c>
      <c r="D57" s="2826">
        <f>SUM(D58:D60)</f>
        <v>465.44199999999995</v>
      </c>
      <c r="E57" s="2826">
        <f>SUM(E58:E60)</f>
        <v>667.372</v>
      </c>
      <c r="F57" s="2826">
        <f>SUM(F58:F60)</f>
        <v>168.66400000000002</v>
      </c>
      <c r="G57" s="2826">
        <f>SUM(B57:F57)</f>
        <v>1648.3619999999999</v>
      </c>
      <c r="H57" s="2827">
        <f>(G57*100)/G5</f>
        <v>2.3600093073903095</v>
      </c>
    </row>
    <row r="58" spans="1:8" ht="18.75">
      <c r="A58" s="2822" t="s">
        <v>136</v>
      </c>
      <c r="B58" s="2824">
        <v>151.13</v>
      </c>
      <c r="C58" s="2824">
        <v>125.173</v>
      </c>
      <c r="D58" s="2824">
        <v>381.304</v>
      </c>
      <c r="E58" s="2824">
        <v>176.956</v>
      </c>
      <c r="F58" s="2824">
        <v>126.304</v>
      </c>
      <c r="G58" s="2824">
        <f t="shared" si="0"/>
        <v>960.867</v>
      </c>
      <c r="H58" s="2824"/>
    </row>
    <row r="59" spans="1:8" ht="18.75">
      <c r="A59" s="2822" t="s">
        <v>822</v>
      </c>
      <c r="B59" s="2824">
        <v>5.388</v>
      </c>
      <c r="C59" s="2824">
        <v>16.388</v>
      </c>
      <c r="D59" s="2824">
        <v>32.916</v>
      </c>
      <c r="E59" s="2824">
        <v>303.333</v>
      </c>
      <c r="F59" s="2824">
        <v>9.305</v>
      </c>
      <c r="G59" s="2824">
        <f t="shared" si="0"/>
        <v>367.33000000000004</v>
      </c>
      <c r="H59" s="2824"/>
    </row>
    <row r="60" spans="1:8" ht="18.75">
      <c r="A60" s="2822" t="s">
        <v>823</v>
      </c>
      <c r="B60" s="2824">
        <v>30.055</v>
      </c>
      <c r="C60" s="2824">
        <v>18.75</v>
      </c>
      <c r="D60" s="2824">
        <v>51.222</v>
      </c>
      <c r="E60" s="2824">
        <v>187.083</v>
      </c>
      <c r="F60" s="2824">
        <v>33.055</v>
      </c>
      <c r="G60" s="2824">
        <f t="shared" si="0"/>
        <v>320.165</v>
      </c>
      <c r="H60" s="2824"/>
    </row>
    <row r="61" spans="1:8" ht="18.75">
      <c r="A61" s="2825" t="s">
        <v>824</v>
      </c>
      <c r="B61" s="2826">
        <f>SUM(B62:B72)</f>
        <v>392.28000000000003</v>
      </c>
      <c r="C61" s="2826">
        <f>SUM(C62:C72)</f>
        <v>365.639</v>
      </c>
      <c r="D61" s="2826">
        <f>SUM(D62:D72)</f>
        <v>1248.6349999999998</v>
      </c>
      <c r="E61" s="2826">
        <f>SUM(E62:E72)</f>
        <v>1655.4049999999997</v>
      </c>
      <c r="F61" s="2826">
        <f>SUM(F62:F72)</f>
        <v>389.094</v>
      </c>
      <c r="G61" s="2826">
        <f>SUM(B61:F61)</f>
        <v>4051.053</v>
      </c>
      <c r="H61" s="2827">
        <f>(G61*100)/G5</f>
        <v>5.800014065315407</v>
      </c>
    </row>
    <row r="62" spans="1:8" ht="18.75">
      <c r="A62" s="2822" t="s">
        <v>1269</v>
      </c>
      <c r="B62" s="2824">
        <v>30.555</v>
      </c>
      <c r="C62" s="2824">
        <v>38.194</v>
      </c>
      <c r="D62" s="2824">
        <v>404.972</v>
      </c>
      <c r="E62" s="2824">
        <v>751.055</v>
      </c>
      <c r="F62" s="2824">
        <v>154.444</v>
      </c>
      <c r="G62" s="2824">
        <f t="shared" si="0"/>
        <v>1379.2199999999998</v>
      </c>
      <c r="H62" s="2824"/>
    </row>
    <row r="63" spans="1:8" ht="18.75">
      <c r="A63" s="2822" t="s">
        <v>825</v>
      </c>
      <c r="B63" s="2824">
        <v>111.4</v>
      </c>
      <c r="C63" s="2824">
        <v>169.52</v>
      </c>
      <c r="D63" s="2824">
        <v>127.8</v>
      </c>
      <c r="E63" s="2824">
        <v>93</v>
      </c>
      <c r="F63" s="2824">
        <v>105.6</v>
      </c>
      <c r="G63" s="2824">
        <f t="shared" si="0"/>
        <v>607.32</v>
      </c>
      <c r="H63" s="2824"/>
    </row>
    <row r="64" spans="1:8" ht="18.75">
      <c r="A64" s="2822" t="s">
        <v>1268</v>
      </c>
      <c r="B64" s="2823" t="s">
        <v>464</v>
      </c>
      <c r="C64" s="2823" t="s">
        <v>464</v>
      </c>
      <c r="D64" s="2824">
        <v>1.388</v>
      </c>
      <c r="E64" s="2824">
        <v>8</v>
      </c>
      <c r="F64" s="2823" t="s">
        <v>464</v>
      </c>
      <c r="G64" s="2824">
        <f t="shared" si="0"/>
        <v>9.388</v>
      </c>
      <c r="H64" s="2824"/>
    </row>
    <row r="65" spans="1:8" ht="18.75">
      <c r="A65" s="2822" t="s">
        <v>826</v>
      </c>
      <c r="B65" s="2823" t="s">
        <v>464</v>
      </c>
      <c r="C65" s="2823" t="s">
        <v>464</v>
      </c>
      <c r="D65" s="2823">
        <v>0.5</v>
      </c>
      <c r="E65" s="2823">
        <v>107</v>
      </c>
      <c r="F65" s="2823" t="s">
        <v>464</v>
      </c>
      <c r="G65" s="2824">
        <f t="shared" si="0"/>
        <v>107.5</v>
      </c>
      <c r="H65" s="2824"/>
    </row>
    <row r="66" spans="1:8" ht="18.75">
      <c r="A66" s="2822" t="s">
        <v>827</v>
      </c>
      <c r="B66" s="2824">
        <v>22</v>
      </c>
      <c r="C66" s="2824">
        <v>12</v>
      </c>
      <c r="D66" s="2824">
        <v>417</v>
      </c>
      <c r="E66" s="2824">
        <v>388</v>
      </c>
      <c r="F66" s="2824">
        <v>101</v>
      </c>
      <c r="G66" s="2824">
        <f t="shared" si="0"/>
        <v>940</v>
      </c>
      <c r="H66" s="2824"/>
    </row>
    <row r="67" spans="1:8" ht="18.75">
      <c r="A67" s="2822" t="s">
        <v>828</v>
      </c>
      <c r="B67" s="2823" t="s">
        <v>464</v>
      </c>
      <c r="C67" s="2823" t="s">
        <v>464</v>
      </c>
      <c r="D67" s="2823" t="s">
        <v>464</v>
      </c>
      <c r="E67" s="2823">
        <v>1</v>
      </c>
      <c r="F67" s="2823" t="s">
        <v>464</v>
      </c>
      <c r="G67" s="2824">
        <f t="shared" si="0"/>
        <v>1</v>
      </c>
      <c r="H67" s="2824"/>
    </row>
    <row r="68" spans="1:8" ht="18.75">
      <c r="A68" s="2822" t="s">
        <v>829</v>
      </c>
      <c r="B68" s="2823" t="s">
        <v>464</v>
      </c>
      <c r="C68" s="2823" t="s">
        <v>464</v>
      </c>
      <c r="D68" s="2824">
        <v>19</v>
      </c>
      <c r="E68" s="2824">
        <v>33</v>
      </c>
      <c r="F68" s="2823" t="s">
        <v>464</v>
      </c>
      <c r="G68" s="2824">
        <f t="shared" si="0"/>
        <v>52</v>
      </c>
      <c r="H68" s="2824"/>
    </row>
    <row r="69" spans="1:8" ht="18.75">
      <c r="A69" s="2822" t="s">
        <v>137</v>
      </c>
      <c r="B69" s="2823">
        <v>147</v>
      </c>
      <c r="C69" s="2823">
        <v>32</v>
      </c>
      <c r="D69" s="2824">
        <v>55.5</v>
      </c>
      <c r="E69" s="2824">
        <v>5</v>
      </c>
      <c r="F69" s="2823">
        <v>3</v>
      </c>
      <c r="G69" s="2824">
        <f t="shared" si="0"/>
        <v>242.5</v>
      </c>
      <c r="H69" s="2824"/>
    </row>
    <row r="70" spans="1:8" ht="18.75">
      <c r="A70" s="2822" t="s">
        <v>138</v>
      </c>
      <c r="B70" s="2823">
        <v>22</v>
      </c>
      <c r="C70" s="2823">
        <v>38</v>
      </c>
      <c r="D70" s="2824">
        <v>113</v>
      </c>
      <c r="E70" s="2824">
        <v>18</v>
      </c>
      <c r="F70" s="2823">
        <v>25</v>
      </c>
      <c r="G70" s="2824">
        <f t="shared" si="0"/>
        <v>216</v>
      </c>
      <c r="H70" s="2824"/>
    </row>
    <row r="71" spans="1:8" ht="18.75">
      <c r="A71" s="2822" t="s">
        <v>139</v>
      </c>
      <c r="B71" s="2823" t="s">
        <v>464</v>
      </c>
      <c r="C71" s="2823" t="s">
        <v>464</v>
      </c>
      <c r="D71" s="2823" t="s">
        <v>464</v>
      </c>
      <c r="E71" s="2824">
        <v>3</v>
      </c>
      <c r="F71" s="2823" t="s">
        <v>464</v>
      </c>
      <c r="G71" s="2824">
        <f t="shared" si="0"/>
        <v>3</v>
      </c>
      <c r="H71" s="2824"/>
    </row>
    <row r="72" spans="1:8" ht="18.75">
      <c r="A72" s="2822" t="s">
        <v>830</v>
      </c>
      <c r="B72" s="2824">
        <v>59.325</v>
      </c>
      <c r="C72" s="2824">
        <v>75.925</v>
      </c>
      <c r="D72" s="2824">
        <v>109.475</v>
      </c>
      <c r="E72" s="2824">
        <v>248.35</v>
      </c>
      <c r="F72" s="2824">
        <v>0.05</v>
      </c>
      <c r="G72" s="2824">
        <f t="shared" si="0"/>
        <v>493.125</v>
      </c>
      <c r="H72" s="2824"/>
    </row>
    <row r="73" spans="1:8" ht="19.5" thickBot="1">
      <c r="A73" s="2833" t="s">
        <v>831</v>
      </c>
      <c r="B73" s="2834" t="s">
        <v>464</v>
      </c>
      <c r="C73" s="2835">
        <v>349</v>
      </c>
      <c r="D73" s="2835">
        <v>1273</v>
      </c>
      <c r="E73" s="2835">
        <v>39570</v>
      </c>
      <c r="F73" s="2835">
        <v>71</v>
      </c>
      <c r="G73" s="2835">
        <f>SUM(B73:F73)</f>
        <v>41263</v>
      </c>
      <c r="H73" s="2827">
        <f>(G73*100)/G5</f>
        <v>59.07747451764015</v>
      </c>
    </row>
    <row r="74" spans="1:8" ht="19.5" thickBot="1">
      <c r="A74" s="2811" t="s">
        <v>1060</v>
      </c>
      <c r="B74" s="2812">
        <v>35.506</v>
      </c>
      <c r="C74" s="2812">
        <v>467.932</v>
      </c>
      <c r="D74" s="2812">
        <v>151.143</v>
      </c>
      <c r="E74" s="2812">
        <v>96.202</v>
      </c>
      <c r="F74" s="2812">
        <v>42.906</v>
      </c>
      <c r="G74" s="2812">
        <f>SUM(B74:F74)</f>
        <v>793.689</v>
      </c>
      <c r="H74" s="2813">
        <f>(G74*100)/G5</f>
        <v>1.1363483428842132</v>
      </c>
    </row>
    <row r="75" ht="18.75">
      <c r="H75" s="2417"/>
    </row>
  </sheetData>
  <sheetProtection/>
  <printOptions/>
  <pageMargins left="0.74" right="1" top="0.67" bottom="1" header="0.5" footer="0.5"/>
  <pageSetup horizontalDpi="300" verticalDpi="300" orientation="portrait" paperSize="9" scale="4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66"/>
  <sheetViews>
    <sheetView zoomScale="50" zoomScaleNormal="50" zoomScaleSheetLayoutView="50" zoomScalePageLayoutView="0" workbookViewId="0" topLeftCell="A19">
      <selection activeCell="O1" sqref="O1:Y16384"/>
    </sheetView>
  </sheetViews>
  <sheetFormatPr defaultColWidth="10.28125" defaultRowHeight="12.75"/>
  <cols>
    <col min="1" max="1" width="28.00390625" style="221" customWidth="1"/>
    <col min="2" max="2" width="14.7109375" style="730" customWidth="1"/>
    <col min="3" max="3" width="17.57421875" style="730" customWidth="1"/>
    <col min="4" max="4" width="14.140625" style="730" customWidth="1"/>
    <col min="5" max="5" width="17.421875" style="221" customWidth="1"/>
    <col min="6" max="6" width="18.00390625" style="221" customWidth="1"/>
    <col min="7" max="7" width="19.57421875" style="221" customWidth="1"/>
    <col min="8" max="8" width="17.00390625" style="221" customWidth="1"/>
    <col min="9" max="9" width="16.57421875" style="221" customWidth="1"/>
    <col min="10" max="10" width="16.7109375" style="221" customWidth="1"/>
    <col min="11" max="11" width="21.00390625" style="222" customWidth="1"/>
    <col min="12" max="12" width="26.00390625" style="202" customWidth="1"/>
    <col min="13" max="14" width="27.421875" style="202" customWidth="1"/>
    <col min="15" max="22" width="15.00390625" style="202" customWidth="1"/>
    <col min="23" max="23" width="12.140625" style="202" customWidth="1"/>
    <col min="24" max="24" width="14.421875" style="202" customWidth="1"/>
    <col min="25" max="25" width="15.00390625" style="202" customWidth="1"/>
    <col min="26" max="29" width="13.28125" style="202" customWidth="1"/>
    <col min="30" max="209" width="9.7109375" style="202" customWidth="1"/>
    <col min="210" max="16384" width="10.28125" style="202" customWidth="1"/>
  </cols>
  <sheetData>
    <row r="1" spans="1:11" s="409" customFormat="1" ht="51" customHeight="1">
      <c r="A1" s="264" t="s">
        <v>832</v>
      </c>
      <c r="B1" s="1924"/>
      <c r="C1" s="1924"/>
      <c r="D1" s="1924"/>
      <c r="K1" s="410"/>
    </row>
    <row r="2" ht="51" customHeight="1" thickBot="1"/>
    <row r="3" spans="1:15" ht="51" customHeight="1" thickBot="1">
      <c r="A3" s="223"/>
      <c r="B3" s="2892" t="s">
        <v>833</v>
      </c>
      <c r="C3" s="2893"/>
      <c r="D3" s="2893"/>
      <c r="E3" s="224" t="s">
        <v>834</v>
      </c>
      <c r="F3" s="225"/>
      <c r="G3" s="225"/>
      <c r="H3" s="225"/>
      <c r="I3" s="2688"/>
      <c r="J3" s="2894" t="s">
        <v>381</v>
      </c>
      <c r="K3" s="2895"/>
      <c r="L3" s="2689"/>
      <c r="O3" s="159"/>
    </row>
    <row r="4" spans="1:12" ht="51" customHeight="1">
      <c r="A4" s="1782" t="s">
        <v>566</v>
      </c>
      <c r="B4" s="1926" t="s">
        <v>835</v>
      </c>
      <c r="C4" s="1926" t="s">
        <v>836</v>
      </c>
      <c r="D4" s="1926" t="s">
        <v>837</v>
      </c>
      <c r="E4" s="228" t="s">
        <v>838</v>
      </c>
      <c r="F4" s="228" t="s">
        <v>839</v>
      </c>
      <c r="G4" s="228" t="s">
        <v>840</v>
      </c>
      <c r="H4" s="228" t="s">
        <v>472</v>
      </c>
      <c r="I4" s="228" t="s">
        <v>841</v>
      </c>
      <c r="J4" s="2781" t="s">
        <v>1223</v>
      </c>
      <c r="K4" s="2782" t="s">
        <v>842</v>
      </c>
      <c r="L4" s="1785" t="s">
        <v>570</v>
      </c>
    </row>
    <row r="5" spans="1:25" ht="51" customHeight="1">
      <c r="A5" s="1782" t="s">
        <v>571</v>
      </c>
      <c r="B5" s="1927" t="s">
        <v>843</v>
      </c>
      <c r="C5" s="1927" t="s">
        <v>844</v>
      </c>
      <c r="D5" s="1927" t="s">
        <v>845</v>
      </c>
      <c r="E5" s="230" t="s">
        <v>846</v>
      </c>
      <c r="F5" s="230" t="s">
        <v>847</v>
      </c>
      <c r="G5" s="230" t="s">
        <v>848</v>
      </c>
      <c r="H5" s="230" t="s">
        <v>480</v>
      </c>
      <c r="I5" s="230" t="s">
        <v>849</v>
      </c>
      <c r="J5" s="533" t="s">
        <v>850</v>
      </c>
      <c r="K5" s="534" t="s">
        <v>851</v>
      </c>
      <c r="L5" s="1785" t="s">
        <v>575</v>
      </c>
      <c r="P5" s="416"/>
      <c r="Q5" s="417"/>
      <c r="R5" s="417"/>
      <c r="T5" s="416"/>
      <c r="U5" s="416"/>
      <c r="W5" s="416"/>
      <c r="Y5" s="416"/>
    </row>
    <row r="6" spans="1:12" ht="51" customHeight="1" thickBot="1">
      <c r="A6" s="228"/>
      <c r="B6" s="1954"/>
      <c r="C6" s="1954"/>
      <c r="D6" s="1954"/>
      <c r="E6" s="233"/>
      <c r="F6" s="233"/>
      <c r="G6" s="233"/>
      <c r="H6" s="233"/>
      <c r="I6" s="233"/>
      <c r="J6" s="2779" t="s">
        <v>1222</v>
      </c>
      <c r="K6" s="2780" t="s">
        <v>1222</v>
      </c>
      <c r="L6" s="1392"/>
    </row>
    <row r="7" spans="1:23" s="201" customFormat="1" ht="51" customHeight="1" thickBot="1">
      <c r="A7" s="2107" t="s">
        <v>578</v>
      </c>
      <c r="B7" s="2011">
        <f>SUM(B8+B13+B20+B26+B30)</f>
        <v>46534</v>
      </c>
      <c r="C7" s="2012">
        <f>SUM(C8+C13+C20+C26+C30)</f>
        <v>204546</v>
      </c>
      <c r="D7" s="2013">
        <f>SUM(D8+D13+D20+D26+D30)</f>
        <v>53256</v>
      </c>
      <c r="E7" s="2012">
        <v>176476</v>
      </c>
      <c r="F7" s="2012">
        <v>7526339</v>
      </c>
      <c r="G7" s="2012">
        <v>76380</v>
      </c>
      <c r="H7" s="2015">
        <f>SUM(E7:G7)</f>
        <v>7779195</v>
      </c>
      <c r="I7" s="2011" t="s">
        <v>852</v>
      </c>
      <c r="J7" s="2014">
        <v>1100</v>
      </c>
      <c r="K7" s="2015">
        <v>12119</v>
      </c>
      <c r="L7" s="2108" t="s">
        <v>579</v>
      </c>
      <c r="P7" s="418"/>
      <c r="Q7" s="419"/>
      <c r="R7" s="420"/>
      <c r="S7" s="418"/>
      <c r="T7" s="419"/>
      <c r="U7" s="420"/>
      <c r="V7" s="418"/>
      <c r="W7" s="419"/>
    </row>
    <row r="8" spans="1:25" s="201" customFormat="1" ht="51" customHeight="1" thickBot="1">
      <c r="A8" s="2152" t="s">
        <v>580</v>
      </c>
      <c r="B8" s="2691">
        <f>SUM(B9:B11)</f>
        <v>19089</v>
      </c>
      <c r="C8" s="2690">
        <f>SUM(C9:C11)</f>
        <v>36460</v>
      </c>
      <c r="D8" s="2690">
        <f>SUM(D9:D11)</f>
        <v>11142</v>
      </c>
      <c r="E8" s="426" t="s">
        <v>852</v>
      </c>
      <c r="F8" s="426" t="s">
        <v>852</v>
      </c>
      <c r="G8" s="426" t="s">
        <v>852</v>
      </c>
      <c r="H8" s="426" t="s">
        <v>852</v>
      </c>
      <c r="I8" s="426" t="s">
        <v>852</v>
      </c>
      <c r="J8" s="426" t="s">
        <v>852</v>
      </c>
      <c r="K8" s="426" t="s">
        <v>852</v>
      </c>
      <c r="L8" s="2109" t="s">
        <v>581</v>
      </c>
      <c r="N8" s="2801"/>
      <c r="O8" s="1949"/>
      <c r="P8" s="421"/>
      <c r="Q8" s="422"/>
      <c r="R8" s="423"/>
      <c r="S8" s="424"/>
      <c r="T8" s="422"/>
      <c r="U8" s="423"/>
      <c r="V8" s="424"/>
      <c r="W8" s="425"/>
      <c r="Y8" s="426"/>
    </row>
    <row r="9" spans="1:25" ht="51" customHeight="1">
      <c r="A9" s="2153" t="s">
        <v>582</v>
      </c>
      <c r="B9" s="2016">
        <v>3156</v>
      </c>
      <c r="C9" s="1983">
        <v>8441</v>
      </c>
      <c r="D9" s="1983">
        <v>3545</v>
      </c>
      <c r="E9" s="207" t="s">
        <v>852</v>
      </c>
      <c r="F9" s="207" t="s">
        <v>852</v>
      </c>
      <c r="G9" s="207" t="s">
        <v>852</v>
      </c>
      <c r="H9" s="207" t="s">
        <v>852</v>
      </c>
      <c r="I9" s="207" t="s">
        <v>852</v>
      </c>
      <c r="J9" s="207" t="s">
        <v>852</v>
      </c>
      <c r="K9" s="207" t="s">
        <v>852</v>
      </c>
      <c r="L9" s="242" t="s">
        <v>583</v>
      </c>
      <c r="O9" s="1950"/>
      <c r="P9" s="428"/>
      <c r="Q9" s="429"/>
      <c r="R9" s="430"/>
      <c r="S9" s="428"/>
      <c r="T9" s="429"/>
      <c r="U9" s="430"/>
      <c r="V9" s="428"/>
      <c r="W9" s="431"/>
      <c r="Y9" s="426"/>
    </row>
    <row r="10" spans="1:25" ht="51" customHeight="1">
      <c r="A10" s="2153" t="s">
        <v>584</v>
      </c>
      <c r="B10" s="2016">
        <v>6407</v>
      </c>
      <c r="C10" s="1983">
        <v>12888</v>
      </c>
      <c r="D10" s="1983">
        <v>4406</v>
      </c>
      <c r="E10" s="207" t="s">
        <v>852</v>
      </c>
      <c r="F10" s="207" t="s">
        <v>852</v>
      </c>
      <c r="G10" s="207" t="s">
        <v>852</v>
      </c>
      <c r="H10" s="207" t="s">
        <v>852</v>
      </c>
      <c r="I10" s="207" t="s">
        <v>852</v>
      </c>
      <c r="J10" s="207" t="s">
        <v>852</v>
      </c>
      <c r="K10" s="207" t="s">
        <v>852</v>
      </c>
      <c r="L10" s="2110" t="s">
        <v>584</v>
      </c>
      <c r="O10" s="1951"/>
      <c r="P10" s="432"/>
      <c r="Q10" s="433"/>
      <c r="R10" s="434"/>
      <c r="S10" s="432"/>
      <c r="T10" s="435"/>
      <c r="U10" s="436"/>
      <c r="V10" s="432"/>
      <c r="W10" s="435"/>
      <c r="Y10" s="426"/>
    </row>
    <row r="11" spans="1:25" ht="51" customHeight="1">
      <c r="A11" s="2153" t="s">
        <v>585</v>
      </c>
      <c r="B11" s="2016">
        <v>9526</v>
      </c>
      <c r="C11" s="1983">
        <v>15131</v>
      </c>
      <c r="D11" s="1983">
        <v>3191</v>
      </c>
      <c r="E11" s="207" t="s">
        <v>852</v>
      </c>
      <c r="F11" s="207" t="s">
        <v>852</v>
      </c>
      <c r="G11" s="207" t="s">
        <v>852</v>
      </c>
      <c r="H11" s="207" t="s">
        <v>852</v>
      </c>
      <c r="I11" s="207" t="s">
        <v>852</v>
      </c>
      <c r="J11" s="207" t="s">
        <v>852</v>
      </c>
      <c r="K11" s="207" t="s">
        <v>852</v>
      </c>
      <c r="L11" s="2110" t="s">
        <v>585</v>
      </c>
      <c r="O11" s="1951"/>
      <c r="P11" s="432"/>
      <c r="Q11" s="433"/>
      <c r="R11" s="434"/>
      <c r="S11" s="432"/>
      <c r="T11" s="435"/>
      <c r="U11" s="436"/>
      <c r="V11" s="432"/>
      <c r="W11" s="435"/>
      <c r="Y11" s="426"/>
    </row>
    <row r="12" spans="1:25" ht="51" customHeight="1">
      <c r="A12" s="2153"/>
      <c r="B12" s="2016"/>
      <c r="C12" s="1983"/>
      <c r="D12" s="1983"/>
      <c r="E12" s="207"/>
      <c r="F12" s="207"/>
      <c r="G12" s="207" t="s">
        <v>1206</v>
      </c>
      <c r="H12" s="207"/>
      <c r="I12" s="207"/>
      <c r="J12" s="207"/>
      <c r="K12" s="207"/>
      <c r="L12" s="2110"/>
      <c r="O12" s="1951"/>
      <c r="P12" s="432"/>
      <c r="Q12" s="433"/>
      <c r="R12" s="434"/>
      <c r="S12" s="432"/>
      <c r="T12" s="435"/>
      <c r="U12" s="436"/>
      <c r="V12" s="432"/>
      <c r="W12" s="435"/>
      <c r="Y12" s="426"/>
    </row>
    <row r="13" spans="1:25" ht="51" customHeight="1">
      <c r="A13" s="2154" t="s">
        <v>588</v>
      </c>
      <c r="B13" s="2017">
        <f>SUM(B14:B18)</f>
        <v>14696</v>
      </c>
      <c r="C13" s="2018">
        <f>SUM(C14:C18)</f>
        <v>61990</v>
      </c>
      <c r="D13" s="2018">
        <f>SUM(D14:D18)</f>
        <v>12548</v>
      </c>
      <c r="E13" s="426" t="s">
        <v>852</v>
      </c>
      <c r="F13" s="426" t="s">
        <v>852</v>
      </c>
      <c r="G13" s="426" t="s">
        <v>852</v>
      </c>
      <c r="H13" s="426" t="s">
        <v>852</v>
      </c>
      <c r="I13" s="426" t="s">
        <v>852</v>
      </c>
      <c r="J13" s="426" t="s">
        <v>852</v>
      </c>
      <c r="K13" s="426" t="s">
        <v>852</v>
      </c>
      <c r="L13" s="2111" t="s">
        <v>589</v>
      </c>
      <c r="O13" s="1951"/>
      <c r="P13" s="432"/>
      <c r="Q13" s="433"/>
      <c r="R13" s="434"/>
      <c r="S13" s="432"/>
      <c r="T13" s="435"/>
      <c r="U13" s="436"/>
      <c r="V13" s="432"/>
      <c r="W13" s="435"/>
      <c r="Y13" s="426"/>
    </row>
    <row r="14" spans="1:25" ht="51" customHeight="1">
      <c r="A14" s="2153" t="s">
        <v>590</v>
      </c>
      <c r="B14" s="2016">
        <v>1649</v>
      </c>
      <c r="C14" s="1983">
        <v>14311</v>
      </c>
      <c r="D14" s="1983">
        <v>2852</v>
      </c>
      <c r="E14" s="207" t="s">
        <v>852</v>
      </c>
      <c r="F14" s="207" t="s">
        <v>852</v>
      </c>
      <c r="G14" s="207" t="s">
        <v>852</v>
      </c>
      <c r="H14" s="207" t="s">
        <v>852</v>
      </c>
      <c r="I14" s="207" t="s">
        <v>852</v>
      </c>
      <c r="J14" s="207" t="s">
        <v>852</v>
      </c>
      <c r="K14" s="207" t="s">
        <v>852</v>
      </c>
      <c r="L14" s="2110" t="s">
        <v>591</v>
      </c>
      <c r="O14" s="1951"/>
      <c r="P14" s="432"/>
      <c r="Q14" s="433"/>
      <c r="R14" s="434"/>
      <c r="S14" s="432"/>
      <c r="T14" s="435"/>
      <c r="U14" s="436"/>
      <c r="V14" s="432"/>
      <c r="W14" s="435"/>
      <c r="Y14" s="426"/>
    </row>
    <row r="15" spans="1:25" s="201" customFormat="1" ht="51" customHeight="1">
      <c r="A15" s="2153" t="s">
        <v>592</v>
      </c>
      <c r="B15" s="2016">
        <v>1093</v>
      </c>
      <c r="C15" s="1983">
        <v>10125</v>
      </c>
      <c r="D15" s="1983">
        <v>889</v>
      </c>
      <c r="E15" s="207" t="s">
        <v>852</v>
      </c>
      <c r="F15" s="207" t="s">
        <v>852</v>
      </c>
      <c r="G15" s="207" t="s">
        <v>852</v>
      </c>
      <c r="H15" s="207" t="s">
        <v>852</v>
      </c>
      <c r="I15" s="207" t="s">
        <v>852</v>
      </c>
      <c r="J15" s="207" t="s">
        <v>852</v>
      </c>
      <c r="K15" s="207" t="s">
        <v>852</v>
      </c>
      <c r="L15" s="2110" t="s">
        <v>593</v>
      </c>
      <c r="O15" s="1951"/>
      <c r="P15" s="432"/>
      <c r="Q15" s="433"/>
      <c r="R15" s="434"/>
      <c r="S15" s="432"/>
      <c r="T15" s="433"/>
      <c r="U15" s="434"/>
      <c r="V15" s="432"/>
      <c r="W15" s="435"/>
      <c r="Y15" s="426"/>
    </row>
    <row r="16" spans="1:25" ht="51" customHeight="1">
      <c r="A16" s="2153" t="s">
        <v>594</v>
      </c>
      <c r="B16" s="2016">
        <v>8246</v>
      </c>
      <c r="C16" s="1983">
        <v>23143</v>
      </c>
      <c r="D16" s="1983">
        <v>3879</v>
      </c>
      <c r="E16" s="207" t="s">
        <v>852</v>
      </c>
      <c r="F16" s="207" t="s">
        <v>852</v>
      </c>
      <c r="G16" s="207" t="s">
        <v>852</v>
      </c>
      <c r="H16" s="207" t="s">
        <v>852</v>
      </c>
      <c r="I16" s="207" t="s">
        <v>852</v>
      </c>
      <c r="J16" s="207" t="s">
        <v>852</v>
      </c>
      <c r="K16" s="207" t="s">
        <v>852</v>
      </c>
      <c r="L16" s="2110" t="s">
        <v>594</v>
      </c>
      <c r="O16" s="1952"/>
      <c r="P16" s="428"/>
      <c r="Q16" s="429"/>
      <c r="R16" s="430"/>
      <c r="S16" s="428"/>
      <c r="T16" s="429"/>
      <c r="U16" s="430"/>
      <c r="V16" s="428"/>
      <c r="W16" s="431"/>
      <c r="Y16" s="426"/>
    </row>
    <row r="17" spans="1:25" ht="51" customHeight="1">
      <c r="A17" s="2153" t="s">
        <v>599</v>
      </c>
      <c r="B17" s="2016">
        <v>2026</v>
      </c>
      <c r="C17" s="1983">
        <v>8879</v>
      </c>
      <c r="D17" s="1983">
        <v>2836</v>
      </c>
      <c r="E17" s="207" t="s">
        <v>852</v>
      </c>
      <c r="F17" s="207" t="s">
        <v>852</v>
      </c>
      <c r="G17" s="207" t="s">
        <v>852</v>
      </c>
      <c r="H17" s="207" t="s">
        <v>852</v>
      </c>
      <c r="I17" s="207" t="s">
        <v>852</v>
      </c>
      <c r="J17" s="207" t="s">
        <v>852</v>
      </c>
      <c r="K17" s="207" t="s">
        <v>852</v>
      </c>
      <c r="L17" s="2110" t="s">
        <v>599</v>
      </c>
      <c r="O17" s="1951"/>
      <c r="P17" s="432"/>
      <c r="Q17" s="433"/>
      <c r="R17" s="434"/>
      <c r="S17" s="432"/>
      <c r="T17" s="435"/>
      <c r="U17" s="436"/>
      <c r="V17" s="432"/>
      <c r="W17" s="435"/>
      <c r="Y17" s="426"/>
    </row>
    <row r="18" spans="1:25" ht="51" customHeight="1">
      <c r="A18" s="2153" t="s">
        <v>598</v>
      </c>
      <c r="B18" s="2016">
        <v>1682</v>
      </c>
      <c r="C18" s="1983">
        <v>5532</v>
      </c>
      <c r="D18" s="1983">
        <v>2092</v>
      </c>
      <c r="E18" s="207" t="s">
        <v>852</v>
      </c>
      <c r="F18" s="207" t="s">
        <v>852</v>
      </c>
      <c r="G18" s="207" t="s">
        <v>852</v>
      </c>
      <c r="H18" s="207" t="s">
        <v>852</v>
      </c>
      <c r="I18" s="207" t="s">
        <v>852</v>
      </c>
      <c r="J18" s="207" t="s">
        <v>852</v>
      </c>
      <c r="K18" s="207" t="s">
        <v>852</v>
      </c>
      <c r="L18" s="2110" t="s">
        <v>598</v>
      </c>
      <c r="O18" s="1951"/>
      <c r="P18" s="432"/>
      <c r="Q18" s="433"/>
      <c r="R18" s="434"/>
      <c r="S18" s="432"/>
      <c r="T18" s="435"/>
      <c r="U18" s="436"/>
      <c r="V18" s="432"/>
      <c r="W18" s="435"/>
      <c r="Y18" s="426"/>
    </row>
    <row r="19" spans="1:25" ht="51" customHeight="1">
      <c r="A19" s="2155"/>
      <c r="B19" s="2016"/>
      <c r="C19" s="1983"/>
      <c r="D19" s="1983"/>
      <c r="E19" s="207"/>
      <c r="F19" s="207"/>
      <c r="G19" s="207"/>
      <c r="H19" s="207"/>
      <c r="I19" s="207"/>
      <c r="J19" s="207"/>
      <c r="K19" s="207"/>
      <c r="L19" s="2110"/>
      <c r="O19" s="1951"/>
      <c r="P19" s="432"/>
      <c r="Q19" s="433"/>
      <c r="R19" s="434"/>
      <c r="S19" s="432"/>
      <c r="T19" s="435"/>
      <c r="U19" s="436"/>
      <c r="V19" s="432"/>
      <c r="W19" s="435"/>
      <c r="Y19" s="426"/>
    </row>
    <row r="20" spans="1:25" ht="51" customHeight="1">
      <c r="A20" s="2154" t="s">
        <v>601</v>
      </c>
      <c r="B20" s="2017">
        <f>SUM(B21:B24)</f>
        <v>4576</v>
      </c>
      <c r="C20" s="2018">
        <f>SUM(C21:C24)</f>
        <v>34706</v>
      </c>
      <c r="D20" s="2018">
        <f>SUM(D21:D24)</f>
        <v>16510</v>
      </c>
      <c r="E20" s="426" t="s">
        <v>852</v>
      </c>
      <c r="F20" s="426" t="s">
        <v>852</v>
      </c>
      <c r="G20" s="426" t="s">
        <v>852</v>
      </c>
      <c r="H20" s="426" t="s">
        <v>852</v>
      </c>
      <c r="I20" s="426" t="s">
        <v>852</v>
      </c>
      <c r="J20" s="426" t="s">
        <v>852</v>
      </c>
      <c r="K20" s="426" t="s">
        <v>852</v>
      </c>
      <c r="L20" s="2111" t="s">
        <v>602</v>
      </c>
      <c r="M20" s="202">
        <f>C20*4.25</f>
        <v>147500.5</v>
      </c>
      <c r="O20" s="1951"/>
      <c r="P20" s="432"/>
      <c r="Q20" s="433"/>
      <c r="R20" s="434"/>
      <c r="S20" s="432"/>
      <c r="T20" s="435"/>
      <c r="U20" s="436"/>
      <c r="V20" s="432"/>
      <c r="W20" s="435"/>
      <c r="Y20" s="426"/>
    </row>
    <row r="21" spans="1:25" ht="51" customHeight="1">
      <c r="A21" s="2153" t="s">
        <v>603</v>
      </c>
      <c r="B21" s="2016">
        <v>1333</v>
      </c>
      <c r="C21" s="1983">
        <v>5526</v>
      </c>
      <c r="D21" s="1983">
        <v>4214</v>
      </c>
      <c r="E21" s="207" t="s">
        <v>852</v>
      </c>
      <c r="F21" s="207" t="s">
        <v>852</v>
      </c>
      <c r="G21" s="207" t="s">
        <v>852</v>
      </c>
      <c r="H21" s="207" t="s">
        <v>852</v>
      </c>
      <c r="I21" s="207" t="s">
        <v>852</v>
      </c>
      <c r="J21" s="207" t="s">
        <v>852</v>
      </c>
      <c r="K21" s="207" t="s">
        <v>852</v>
      </c>
      <c r="L21" s="2110" t="s">
        <v>604</v>
      </c>
      <c r="O21" s="1951"/>
      <c r="P21" s="432"/>
      <c r="Q21" s="433"/>
      <c r="R21" s="434"/>
      <c r="S21" s="432"/>
      <c r="T21" s="435"/>
      <c r="U21" s="436"/>
      <c r="V21" s="432"/>
      <c r="W21" s="435"/>
      <c r="Y21" s="426"/>
    </row>
    <row r="22" spans="1:25" ht="51" customHeight="1">
      <c r="A22" s="2153" t="s">
        <v>605</v>
      </c>
      <c r="B22" s="2016">
        <v>57</v>
      </c>
      <c r="C22" s="1983">
        <v>2773</v>
      </c>
      <c r="D22" s="1983">
        <v>1244</v>
      </c>
      <c r="E22" s="207" t="s">
        <v>852</v>
      </c>
      <c r="F22" s="207" t="s">
        <v>852</v>
      </c>
      <c r="G22" s="207" t="s">
        <v>852</v>
      </c>
      <c r="H22" s="207" t="s">
        <v>852</v>
      </c>
      <c r="I22" s="207" t="s">
        <v>852</v>
      </c>
      <c r="J22" s="207" t="s">
        <v>852</v>
      </c>
      <c r="K22" s="207" t="s">
        <v>852</v>
      </c>
      <c r="L22" s="2110" t="s">
        <v>606</v>
      </c>
      <c r="O22" s="1951"/>
      <c r="P22" s="432"/>
      <c r="Q22" s="433"/>
      <c r="R22" s="434"/>
      <c r="S22" s="432"/>
      <c r="T22" s="435"/>
      <c r="U22" s="436"/>
      <c r="V22" s="432"/>
      <c r="W22" s="435"/>
      <c r="Y22" s="426"/>
    </row>
    <row r="23" spans="1:25" ht="51" customHeight="1">
      <c r="A23" s="2153" t="s">
        <v>607</v>
      </c>
      <c r="B23" s="2016">
        <v>1635</v>
      </c>
      <c r="C23" s="1983">
        <v>13398</v>
      </c>
      <c r="D23" s="1983">
        <v>5026</v>
      </c>
      <c r="E23" s="207" t="s">
        <v>852</v>
      </c>
      <c r="F23" s="207" t="s">
        <v>852</v>
      </c>
      <c r="G23" s="207" t="s">
        <v>852</v>
      </c>
      <c r="H23" s="207" t="s">
        <v>852</v>
      </c>
      <c r="I23" s="207" t="s">
        <v>852</v>
      </c>
      <c r="J23" s="207" t="s">
        <v>852</v>
      </c>
      <c r="K23" s="207" t="s">
        <v>852</v>
      </c>
      <c r="L23" s="2110" t="s">
        <v>607</v>
      </c>
      <c r="O23" s="1951"/>
      <c r="P23" s="432"/>
      <c r="Q23" s="433"/>
      <c r="R23" s="434"/>
      <c r="S23" s="432"/>
      <c r="T23" s="435"/>
      <c r="U23" s="436"/>
      <c r="V23" s="432"/>
      <c r="W23" s="435"/>
      <c r="Y23" s="426"/>
    </row>
    <row r="24" spans="1:25" ht="51" customHeight="1">
      <c r="A24" s="2153" t="s">
        <v>608</v>
      </c>
      <c r="B24" s="2016">
        <v>1551</v>
      </c>
      <c r="C24" s="1983">
        <v>13009</v>
      </c>
      <c r="D24" s="1983">
        <v>6026</v>
      </c>
      <c r="E24" s="207" t="s">
        <v>852</v>
      </c>
      <c r="F24" s="207" t="s">
        <v>852</v>
      </c>
      <c r="G24" s="207" t="s">
        <v>852</v>
      </c>
      <c r="H24" s="207" t="s">
        <v>852</v>
      </c>
      <c r="I24" s="207" t="s">
        <v>852</v>
      </c>
      <c r="J24" s="207" t="s">
        <v>852</v>
      </c>
      <c r="K24" s="207" t="s">
        <v>852</v>
      </c>
      <c r="L24" s="2110" t="s">
        <v>608</v>
      </c>
      <c r="O24" s="1951"/>
      <c r="P24" s="432"/>
      <c r="Q24" s="433"/>
      <c r="R24" s="434"/>
      <c r="S24" s="432"/>
      <c r="T24" s="435"/>
      <c r="U24" s="436"/>
      <c r="V24" s="432"/>
      <c r="W24" s="435"/>
      <c r="Y24" s="426"/>
    </row>
    <row r="25" spans="1:25" s="201" customFormat="1" ht="51" customHeight="1">
      <c r="A25" s="2156"/>
      <c r="B25" s="2017"/>
      <c r="C25" s="2018"/>
      <c r="D25" s="2018"/>
      <c r="E25" s="426"/>
      <c r="F25" s="426"/>
      <c r="G25" s="426"/>
      <c r="H25" s="426"/>
      <c r="I25" s="426"/>
      <c r="J25" s="426"/>
      <c r="K25" s="426"/>
      <c r="L25" s="2111"/>
      <c r="O25" s="1951"/>
      <c r="P25" s="432"/>
      <c r="Q25" s="433"/>
      <c r="R25" s="434"/>
      <c r="S25" s="432"/>
      <c r="T25" s="433"/>
      <c r="U25" s="434"/>
      <c r="V25" s="432"/>
      <c r="W25" s="435"/>
      <c r="Y25" s="426"/>
    </row>
    <row r="26" spans="1:25" ht="51" customHeight="1">
      <c r="A26" s="2156" t="s">
        <v>1286</v>
      </c>
      <c r="B26" s="2017">
        <f>SUM(B27:B28)</f>
        <v>3798</v>
      </c>
      <c r="C26" s="2018">
        <f>SUM(C27:C28)</f>
        <v>28071</v>
      </c>
      <c r="D26" s="2018">
        <f>SUM(D27:D28)</f>
        <v>7496</v>
      </c>
      <c r="E26" s="426" t="s">
        <v>852</v>
      </c>
      <c r="F26" s="426" t="s">
        <v>852</v>
      </c>
      <c r="G26" s="426" t="s">
        <v>852</v>
      </c>
      <c r="H26" s="426" t="s">
        <v>852</v>
      </c>
      <c r="I26" s="426" t="s">
        <v>852</v>
      </c>
      <c r="J26" s="426" t="s">
        <v>852</v>
      </c>
      <c r="K26" s="426" t="s">
        <v>852</v>
      </c>
      <c r="L26" s="2112" t="s">
        <v>1286</v>
      </c>
      <c r="M26" s="202">
        <f>C26*3.65</f>
        <v>102459.15</v>
      </c>
      <c r="O26" s="1952"/>
      <c r="P26" s="428"/>
      <c r="Q26" s="429"/>
      <c r="R26" s="430"/>
      <c r="S26" s="428"/>
      <c r="T26" s="429"/>
      <c r="U26" s="430"/>
      <c r="V26" s="428"/>
      <c r="W26" s="431"/>
      <c r="Y26" s="426"/>
    </row>
    <row r="27" spans="1:25" ht="51" customHeight="1">
      <c r="A27" s="2155" t="s">
        <v>586</v>
      </c>
      <c r="B27" s="2016">
        <v>2942</v>
      </c>
      <c r="C27" s="1983">
        <v>20531</v>
      </c>
      <c r="D27" s="1983">
        <v>5569</v>
      </c>
      <c r="E27" s="207" t="s">
        <v>852</v>
      </c>
      <c r="F27" s="207" t="s">
        <v>852</v>
      </c>
      <c r="G27" s="207" t="s">
        <v>852</v>
      </c>
      <c r="H27" s="207" t="s">
        <v>852</v>
      </c>
      <c r="I27" s="207" t="s">
        <v>852</v>
      </c>
      <c r="J27" s="207" t="s">
        <v>852</v>
      </c>
      <c r="K27" s="207" t="s">
        <v>852</v>
      </c>
      <c r="L27" s="2113" t="s">
        <v>586</v>
      </c>
      <c r="O27" s="1951"/>
      <c r="P27" s="432"/>
      <c r="Q27" s="433"/>
      <c r="R27" s="434"/>
      <c r="S27" s="432"/>
      <c r="T27" s="435"/>
      <c r="U27" s="436"/>
      <c r="V27" s="432"/>
      <c r="W27" s="435"/>
      <c r="Y27" s="426"/>
    </row>
    <row r="28" spans="1:25" ht="51" customHeight="1">
      <c r="A28" s="2155" t="s">
        <v>587</v>
      </c>
      <c r="B28" s="2016">
        <v>856</v>
      </c>
      <c r="C28" s="1983">
        <v>7540</v>
      </c>
      <c r="D28" s="1983">
        <v>1927</v>
      </c>
      <c r="E28" s="207" t="s">
        <v>852</v>
      </c>
      <c r="F28" s="207" t="s">
        <v>852</v>
      </c>
      <c r="G28" s="207" t="s">
        <v>852</v>
      </c>
      <c r="H28" s="207" t="s">
        <v>852</v>
      </c>
      <c r="I28" s="207" t="s">
        <v>852</v>
      </c>
      <c r="J28" s="207" t="s">
        <v>852</v>
      </c>
      <c r="K28" s="207" t="s">
        <v>852</v>
      </c>
      <c r="L28" s="2113" t="s">
        <v>587</v>
      </c>
      <c r="O28" s="1951"/>
      <c r="P28" s="432"/>
      <c r="Q28" s="433"/>
      <c r="R28" s="434"/>
      <c r="S28" s="432"/>
      <c r="T28" s="435"/>
      <c r="U28" s="436"/>
      <c r="V28" s="432"/>
      <c r="W28" s="435"/>
      <c r="Y28" s="426"/>
    </row>
    <row r="29" spans="1:25" ht="51" customHeight="1">
      <c r="A29" s="2155"/>
      <c r="B29" s="2016"/>
      <c r="C29" s="1983"/>
      <c r="D29" s="1983"/>
      <c r="E29" s="207"/>
      <c r="F29" s="207"/>
      <c r="G29" s="207"/>
      <c r="H29" s="207"/>
      <c r="I29" s="207"/>
      <c r="J29" s="207"/>
      <c r="K29" s="207"/>
      <c r="L29" s="2110"/>
      <c r="O29" s="1951"/>
      <c r="P29" s="432"/>
      <c r="Q29" s="433"/>
      <c r="R29" s="434"/>
      <c r="S29" s="432"/>
      <c r="T29" s="435"/>
      <c r="U29" s="436"/>
      <c r="V29" s="432"/>
      <c r="W29" s="435"/>
      <c r="Y29" s="426"/>
    </row>
    <row r="30" spans="1:25" ht="51" customHeight="1">
      <c r="A30" s="2156" t="s">
        <v>1287</v>
      </c>
      <c r="B30" s="2017">
        <f>SUM(B31:B33)</f>
        <v>4375</v>
      </c>
      <c r="C30" s="2018">
        <f>SUM(C31:C33)</f>
        <v>43319</v>
      </c>
      <c r="D30" s="2018">
        <f>SUM(D31:D33)</f>
        <v>5560</v>
      </c>
      <c r="E30" s="426" t="s">
        <v>852</v>
      </c>
      <c r="F30" s="426" t="s">
        <v>852</v>
      </c>
      <c r="G30" s="426" t="s">
        <v>852</v>
      </c>
      <c r="H30" s="426" t="s">
        <v>852</v>
      </c>
      <c r="I30" s="426" t="s">
        <v>852</v>
      </c>
      <c r="J30" s="426" t="s">
        <v>852</v>
      </c>
      <c r="K30" s="426" t="s">
        <v>852</v>
      </c>
      <c r="L30" s="2111" t="s">
        <v>1287</v>
      </c>
      <c r="M30" s="202">
        <f>C30*4.75</f>
        <v>205765.25</v>
      </c>
      <c r="O30" s="1951"/>
      <c r="P30" s="709"/>
      <c r="Q30" s="1953"/>
      <c r="R30" s="710"/>
      <c r="S30" s="709"/>
      <c r="T30" s="1623"/>
      <c r="U30" s="439"/>
      <c r="V30" s="709"/>
      <c r="W30" s="1623"/>
      <c r="Y30" s="426"/>
    </row>
    <row r="31" spans="1:25" ht="51" customHeight="1">
      <c r="A31" s="2155" t="s">
        <v>1273</v>
      </c>
      <c r="B31" s="2016">
        <v>1987</v>
      </c>
      <c r="C31" s="1983">
        <v>8928</v>
      </c>
      <c r="D31" s="1983">
        <v>1929</v>
      </c>
      <c r="E31" s="207" t="s">
        <v>852</v>
      </c>
      <c r="F31" s="207" t="s">
        <v>852</v>
      </c>
      <c r="G31" s="207" t="s">
        <v>852</v>
      </c>
      <c r="H31" s="207" t="s">
        <v>852</v>
      </c>
      <c r="I31" s="207" t="s">
        <v>852</v>
      </c>
      <c r="J31" s="207" t="s">
        <v>852</v>
      </c>
      <c r="K31" s="207" t="s">
        <v>852</v>
      </c>
      <c r="L31" s="2110" t="s">
        <v>1294</v>
      </c>
      <c r="O31" s="427"/>
      <c r="P31" s="207"/>
      <c r="Q31" s="426"/>
      <c r="R31" s="426"/>
      <c r="S31" s="207"/>
      <c r="T31" s="427"/>
      <c r="U31" s="427"/>
      <c r="V31" s="207"/>
      <c r="W31" s="427"/>
      <c r="Y31" s="426"/>
    </row>
    <row r="32" spans="1:25" ht="51" customHeight="1">
      <c r="A32" s="2155" t="s">
        <v>596</v>
      </c>
      <c r="B32" s="2016">
        <v>774</v>
      </c>
      <c r="C32" s="1983">
        <v>10860</v>
      </c>
      <c r="D32" s="1983">
        <v>833</v>
      </c>
      <c r="E32" s="207" t="s">
        <v>852</v>
      </c>
      <c r="F32" s="207" t="s">
        <v>852</v>
      </c>
      <c r="G32" s="207" t="s">
        <v>852</v>
      </c>
      <c r="H32" s="207" t="s">
        <v>852</v>
      </c>
      <c r="I32" s="207" t="s">
        <v>852</v>
      </c>
      <c r="J32" s="207" t="s">
        <v>852</v>
      </c>
      <c r="K32" s="207" t="s">
        <v>852</v>
      </c>
      <c r="L32" s="2110" t="s">
        <v>596</v>
      </c>
      <c r="O32" s="427"/>
      <c r="P32" s="207"/>
      <c r="Q32" s="426"/>
      <c r="R32" s="426"/>
      <c r="S32" s="207"/>
      <c r="T32" s="427"/>
      <c r="U32" s="427"/>
      <c r="V32" s="207"/>
      <c r="W32" s="427"/>
      <c r="Y32" s="426"/>
    </row>
    <row r="33" spans="1:25" ht="51" customHeight="1" thickBot="1">
      <c r="A33" s="2157" t="s">
        <v>595</v>
      </c>
      <c r="B33" s="2019">
        <v>1614</v>
      </c>
      <c r="C33" s="2020">
        <v>23531</v>
      </c>
      <c r="D33" s="2020">
        <v>2798</v>
      </c>
      <c r="E33" s="210" t="s">
        <v>852</v>
      </c>
      <c r="F33" s="210" t="s">
        <v>852</v>
      </c>
      <c r="G33" s="210" t="s">
        <v>852</v>
      </c>
      <c r="H33" s="210" t="s">
        <v>852</v>
      </c>
      <c r="I33" s="210" t="s">
        <v>852</v>
      </c>
      <c r="J33" s="210" t="s">
        <v>852</v>
      </c>
      <c r="K33" s="210" t="s">
        <v>852</v>
      </c>
      <c r="L33" s="2114" t="s">
        <v>595</v>
      </c>
      <c r="O33" s="427"/>
      <c r="P33" s="207"/>
      <c r="Q33" s="426"/>
      <c r="R33" s="426"/>
      <c r="S33" s="207"/>
      <c r="T33" s="427"/>
      <c r="U33" s="427"/>
      <c r="V33" s="207"/>
      <c r="W33" s="427"/>
      <c r="Y33" s="426"/>
    </row>
    <row r="34" spans="1:24" ht="28.5" customHeight="1">
      <c r="A34" s="221" t="s">
        <v>853</v>
      </c>
      <c r="B34" s="1956"/>
      <c r="C34" s="1956"/>
      <c r="D34" s="1956"/>
      <c r="E34" s="1371"/>
      <c r="F34" s="1371"/>
      <c r="G34" s="1371"/>
      <c r="H34" s="1161"/>
      <c r="I34" s="1161"/>
      <c r="J34" s="1161"/>
      <c r="K34" s="715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X34" s="426"/>
    </row>
    <row r="35" spans="1:24" ht="34.5" customHeight="1">
      <c r="A35" s="221" t="s">
        <v>855</v>
      </c>
      <c r="B35" s="1956"/>
      <c r="C35" s="1956"/>
      <c r="D35" s="1956"/>
      <c r="E35" s="1371"/>
      <c r="F35" s="1371"/>
      <c r="G35" s="1371"/>
      <c r="H35" s="1161"/>
      <c r="I35" s="1161"/>
      <c r="J35" s="1161"/>
      <c r="K35" s="715"/>
      <c r="M35" s="427"/>
      <c r="N35" s="427"/>
      <c r="O35" s="207"/>
      <c r="P35" s="426"/>
      <c r="Q35" s="426"/>
      <c r="R35" s="207"/>
      <c r="S35" s="427"/>
      <c r="T35" s="427"/>
      <c r="U35" s="207"/>
      <c r="V35" s="427"/>
      <c r="X35" s="426"/>
    </row>
    <row r="36" spans="1:24" ht="28.5" customHeight="1" hidden="1">
      <c r="A36" s="111"/>
      <c r="B36" s="1925"/>
      <c r="C36" s="1925"/>
      <c r="D36" s="1925"/>
      <c r="E36" s="1161"/>
      <c r="F36" s="1161"/>
      <c r="G36" s="1161"/>
      <c r="H36" s="1161"/>
      <c r="I36" s="1161"/>
      <c r="J36" s="1161"/>
      <c r="K36" s="715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X36" s="426"/>
    </row>
    <row r="37" spans="1:24" ht="28.5" customHeight="1" hidden="1">
      <c r="A37" s="111"/>
      <c r="B37" s="1925"/>
      <c r="C37" s="1925"/>
      <c r="D37" s="1925"/>
      <c r="E37" s="1161"/>
      <c r="F37" s="1161"/>
      <c r="G37" s="1161"/>
      <c r="H37" s="1161"/>
      <c r="I37" s="1161"/>
      <c r="J37" s="1161"/>
      <c r="K37" s="715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X37" s="426"/>
    </row>
    <row r="38" spans="8:24" ht="28.5" customHeight="1" hidden="1">
      <c r="H38" s="1371"/>
      <c r="I38" s="1371"/>
      <c r="J38" s="1371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X38" s="426"/>
    </row>
    <row r="39" spans="8:22" ht="28.5" customHeight="1" hidden="1">
      <c r="H39" s="1371"/>
      <c r="I39" s="1371"/>
      <c r="J39" s="1371"/>
      <c r="M39" s="427"/>
      <c r="N39" s="427"/>
      <c r="O39" s="427"/>
      <c r="P39" s="427"/>
      <c r="Q39" s="427"/>
      <c r="R39" s="427"/>
      <c r="S39" s="427"/>
      <c r="T39" s="427"/>
      <c r="U39" s="427"/>
      <c r="V39" s="427"/>
    </row>
    <row r="40" spans="2:22" ht="28.5" customHeight="1" hidden="1">
      <c r="B40" s="1956"/>
      <c r="C40" s="1956"/>
      <c r="D40" s="1956"/>
      <c r="E40" s="1371"/>
      <c r="F40" s="1371"/>
      <c r="G40" s="1371"/>
      <c r="H40" s="1371"/>
      <c r="I40" s="1371"/>
      <c r="J40" s="1371"/>
      <c r="M40" s="427"/>
      <c r="N40" s="427"/>
      <c r="O40" s="427"/>
      <c r="P40" s="427"/>
      <c r="Q40" s="427"/>
      <c r="R40" s="427"/>
      <c r="S40" s="427"/>
      <c r="T40" s="427"/>
      <c r="U40" s="427"/>
      <c r="V40" s="427"/>
    </row>
    <row r="41" spans="2:22" ht="19.5" customHeight="1">
      <c r="B41" s="1956"/>
      <c r="C41" s="1956"/>
      <c r="D41" s="1956"/>
      <c r="E41" s="1371"/>
      <c r="F41" s="1371"/>
      <c r="G41" s="1371"/>
      <c r="H41" s="1371"/>
      <c r="I41" s="1371"/>
      <c r="J41" s="1371"/>
      <c r="M41" s="427"/>
      <c r="N41" s="427"/>
      <c r="O41" s="427"/>
      <c r="P41" s="2237"/>
      <c r="Q41" s="427"/>
      <c r="R41" s="427"/>
      <c r="S41" s="427"/>
      <c r="T41" s="427"/>
      <c r="U41" s="427"/>
      <c r="V41" s="427"/>
    </row>
    <row r="42" ht="27" thickBot="1"/>
    <row r="43" ht="26.25">
      <c r="O43" s="418"/>
    </row>
    <row r="44" ht="26.25">
      <c r="O44" s="424"/>
    </row>
    <row r="45" ht="26.25">
      <c r="O45" s="428"/>
    </row>
    <row r="46" ht="26.25">
      <c r="O46" s="432"/>
    </row>
    <row r="47" ht="26.25">
      <c r="O47" s="432"/>
    </row>
    <row r="48" ht="26.25">
      <c r="O48" s="432"/>
    </row>
    <row r="49" ht="26.25">
      <c r="O49" s="432"/>
    </row>
    <row r="50" ht="26.25">
      <c r="O50" s="432"/>
    </row>
    <row r="51" ht="26.25">
      <c r="O51" s="432"/>
    </row>
    <row r="52" ht="26.25">
      <c r="O52" s="428"/>
    </row>
    <row r="53" ht="26.25">
      <c r="O53" s="432"/>
    </row>
    <row r="54" ht="26.25">
      <c r="O54" s="432"/>
    </row>
    <row r="55" ht="26.25">
      <c r="O55" s="432"/>
    </row>
    <row r="56" ht="26.25">
      <c r="O56" s="432"/>
    </row>
    <row r="57" ht="26.25">
      <c r="O57" s="432"/>
    </row>
    <row r="58" ht="26.25">
      <c r="O58" s="432"/>
    </row>
    <row r="59" ht="26.25">
      <c r="O59" s="432"/>
    </row>
    <row r="60" ht="26.25">
      <c r="O60" s="432"/>
    </row>
    <row r="61" ht="26.25">
      <c r="O61" s="432"/>
    </row>
    <row r="62" ht="26.25">
      <c r="O62" s="428"/>
    </row>
    <row r="63" ht="26.25">
      <c r="O63" s="432"/>
    </row>
    <row r="64" ht="26.25">
      <c r="O64" s="432"/>
    </row>
    <row r="65" ht="26.25">
      <c r="O65" s="432"/>
    </row>
    <row r="66" ht="26.25">
      <c r="O66" s="709"/>
    </row>
  </sheetData>
  <sheetProtection/>
  <mergeCells count="2">
    <mergeCell ref="B3:D3"/>
    <mergeCell ref="J3:K3"/>
  </mergeCells>
  <printOptions/>
  <pageMargins left="0.7874015748031497" right="0.7874015748031497" top="0.9055118110236221" bottom="0.984251968503937" header="0.5118110236220472" footer="0.5118110236220472"/>
  <pageSetup horizontalDpi="300" verticalDpi="300" orientation="portrait" paperSize="9" scale="4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B62"/>
  <sheetViews>
    <sheetView zoomScale="64" zoomScaleNormal="64" zoomScalePageLayoutView="0" workbookViewId="0" topLeftCell="A1">
      <selection activeCell="M1" sqref="M1:Y16384"/>
    </sheetView>
  </sheetViews>
  <sheetFormatPr defaultColWidth="9.140625" defaultRowHeight="12.75"/>
  <cols>
    <col min="1" max="1" width="22.421875" style="0" customWidth="1"/>
    <col min="2" max="2" width="13.57421875" style="0" customWidth="1"/>
    <col min="3" max="3" width="17.8515625" style="0" customWidth="1"/>
    <col min="4" max="4" width="17.57421875" style="0" customWidth="1"/>
    <col min="5" max="5" width="14.7109375" style="0" customWidth="1"/>
    <col min="6" max="9" width="13.57421875" style="0" customWidth="1"/>
    <col min="10" max="10" width="15.140625" style="0" customWidth="1"/>
    <col min="11" max="11" width="23.28125" style="0" customWidth="1"/>
    <col min="13" max="13" width="17.7109375" style="0" customWidth="1"/>
    <col min="14" max="16" width="13.00390625" style="2420" customWidth="1"/>
    <col min="17" max="17" width="16.140625" style="2420" customWidth="1"/>
    <col min="18" max="22" width="13.00390625" style="2420" customWidth="1"/>
    <col min="23" max="24" width="13.00390625" style="2172" customWidth="1"/>
    <col min="25" max="25" width="13.00390625" style="0" customWidth="1"/>
  </cols>
  <sheetData>
    <row r="2" spans="1:24" s="159" customFormat="1" ht="28.5" customHeight="1">
      <c r="A2" s="166" t="s">
        <v>856</v>
      </c>
      <c r="B2" s="2115"/>
      <c r="C2" s="2115"/>
      <c r="D2" s="2115"/>
      <c r="E2" s="643"/>
      <c r="F2" s="643"/>
      <c r="G2" s="643"/>
      <c r="H2" s="643"/>
      <c r="I2" s="643"/>
      <c r="J2" s="643"/>
      <c r="K2" s="631"/>
      <c r="M2" s="640"/>
      <c r="N2" s="640"/>
      <c r="O2" s="640"/>
      <c r="P2" s="640"/>
      <c r="Q2" s="640"/>
      <c r="R2" s="640"/>
      <c r="S2" s="640"/>
      <c r="T2" s="640"/>
      <c r="U2" s="640"/>
      <c r="W2" s="2162"/>
      <c r="X2" s="2162"/>
    </row>
    <row r="3" spans="1:24" s="159" customFormat="1" ht="28.5" customHeight="1">
      <c r="A3" s="166" t="s">
        <v>857</v>
      </c>
      <c r="B3" s="2115"/>
      <c r="C3" s="2115"/>
      <c r="D3" s="2115"/>
      <c r="E3" s="643"/>
      <c r="F3" s="643"/>
      <c r="G3" s="643"/>
      <c r="H3" s="643"/>
      <c r="I3" s="643"/>
      <c r="J3" s="643"/>
      <c r="K3" s="631"/>
      <c r="W3" s="2162"/>
      <c r="X3" s="2162"/>
    </row>
    <row r="4" spans="2:24" s="159" customFormat="1" ht="28.5" customHeight="1" thickBot="1">
      <c r="B4" s="2115"/>
      <c r="C4" s="2115"/>
      <c r="D4" s="2115"/>
      <c r="E4" s="643"/>
      <c r="F4" s="643"/>
      <c r="G4" s="643"/>
      <c r="H4" s="643"/>
      <c r="I4" s="643"/>
      <c r="J4" s="643"/>
      <c r="K4" s="631"/>
      <c r="W4" s="2162"/>
      <c r="X4" s="2162"/>
    </row>
    <row r="5" spans="1:24" s="159" customFormat="1" ht="28.5" customHeight="1">
      <c r="A5" s="632"/>
      <c r="B5" s="2902" t="s">
        <v>634</v>
      </c>
      <c r="C5" s="2903"/>
      <c r="D5" s="2903"/>
      <c r="E5" s="2903"/>
      <c r="F5" s="2904"/>
      <c r="G5" s="2896" t="s">
        <v>635</v>
      </c>
      <c r="H5" s="2897"/>
      <c r="I5" s="2898"/>
      <c r="J5" s="632" t="s">
        <v>858</v>
      </c>
      <c r="K5" s="2116"/>
      <c r="W5" s="2162"/>
      <c r="X5" s="2162"/>
    </row>
    <row r="6" spans="1:24" s="159" customFormat="1" ht="28.5" customHeight="1" thickBot="1">
      <c r="A6" s="636"/>
      <c r="B6" s="2905"/>
      <c r="C6" s="2906"/>
      <c r="D6" s="2906"/>
      <c r="E6" s="2906"/>
      <c r="F6" s="2907"/>
      <c r="G6" s="2899"/>
      <c r="H6" s="2900"/>
      <c r="I6" s="2901"/>
      <c r="J6" s="636" t="s">
        <v>859</v>
      </c>
      <c r="K6" s="638"/>
      <c r="W6" s="2162"/>
      <c r="X6" s="2162"/>
    </row>
    <row r="7" spans="1:28" s="159" customFormat="1" ht="28.5" customHeight="1">
      <c r="A7" s="636" t="s">
        <v>566</v>
      </c>
      <c r="B7" s="2117" t="s">
        <v>860</v>
      </c>
      <c r="C7" s="2117" t="s">
        <v>861</v>
      </c>
      <c r="D7" s="2117" t="s">
        <v>862</v>
      </c>
      <c r="E7" s="632" t="s">
        <v>863</v>
      </c>
      <c r="F7" s="632" t="s">
        <v>472</v>
      </c>
      <c r="G7" s="632" t="s">
        <v>864</v>
      </c>
      <c r="H7" s="632" t="s">
        <v>865</v>
      </c>
      <c r="I7" s="632" t="s">
        <v>866</v>
      </c>
      <c r="J7" s="2118" t="s">
        <v>907</v>
      </c>
      <c r="K7" s="638" t="s">
        <v>570</v>
      </c>
      <c r="W7" s="2162"/>
      <c r="X7" s="2163"/>
      <c r="Y7" s="640"/>
      <c r="Z7" s="640"/>
      <c r="AA7" s="640"/>
      <c r="AB7" s="640"/>
    </row>
    <row r="8" spans="1:28" s="159" customFormat="1" ht="28.5" customHeight="1">
      <c r="A8" s="636" t="s">
        <v>571</v>
      </c>
      <c r="B8" s="959" t="s">
        <v>867</v>
      </c>
      <c r="C8" s="959" t="s">
        <v>868</v>
      </c>
      <c r="D8" s="959" t="s">
        <v>869</v>
      </c>
      <c r="E8" s="639" t="s">
        <v>847</v>
      </c>
      <c r="F8" s="639" t="s">
        <v>480</v>
      </c>
      <c r="G8" s="639" t="s">
        <v>870</v>
      </c>
      <c r="H8" s="639" t="s">
        <v>868</v>
      </c>
      <c r="I8" s="639" t="s">
        <v>869</v>
      </c>
      <c r="J8" s="639" t="s">
        <v>871</v>
      </c>
      <c r="K8" s="638" t="s">
        <v>575</v>
      </c>
      <c r="N8" s="2119"/>
      <c r="O8" s="2120"/>
      <c r="P8" s="2120"/>
      <c r="R8" s="2119"/>
      <c r="S8" s="2119"/>
      <c r="U8" s="2119"/>
      <c r="V8" s="2119"/>
      <c r="W8" s="2162"/>
      <c r="X8" s="2164"/>
      <c r="Y8" s="2121"/>
      <c r="Z8" s="640"/>
      <c r="AA8" s="640"/>
      <c r="AB8" s="2121"/>
    </row>
    <row r="9" spans="1:28" s="159" customFormat="1" ht="28.5" customHeight="1" thickBot="1">
      <c r="A9" s="1285"/>
      <c r="B9" s="959"/>
      <c r="C9" s="959" t="s">
        <v>872</v>
      </c>
      <c r="D9" s="959"/>
      <c r="E9" s="639" t="s">
        <v>873</v>
      </c>
      <c r="F9" s="639"/>
      <c r="G9" s="639"/>
      <c r="H9" s="639"/>
      <c r="I9" s="639"/>
      <c r="J9" s="639" t="s">
        <v>577</v>
      </c>
      <c r="K9" s="2122"/>
      <c r="W9" s="2162"/>
      <c r="X9" s="2162"/>
      <c r="Y9" s="640"/>
      <c r="Z9" s="640"/>
      <c r="AA9" s="640"/>
      <c r="AB9" s="640"/>
    </row>
    <row r="10" spans="1:28" s="166" customFormat="1" ht="45.75" customHeight="1" thickBot="1">
      <c r="A10" s="1378" t="s">
        <v>578</v>
      </c>
      <c r="B10" s="2123">
        <f>SUM(B11+B16+B23+B29+B33)</f>
        <v>3944</v>
      </c>
      <c r="C10" s="1017">
        <f>SUM(C11+C16+C23+C29+C33)</f>
        <v>3693</v>
      </c>
      <c r="D10" s="1017">
        <f>SUM(D11+D16+D23+D29+D33)</f>
        <v>715</v>
      </c>
      <c r="E10" s="1017">
        <v>11361</v>
      </c>
      <c r="F10" s="678">
        <f>B10+C10+D10+E10</f>
        <v>19713</v>
      </c>
      <c r="G10" s="1849">
        <f>SUM(G11+G16+G23+G29+G33)</f>
        <v>15238</v>
      </c>
      <c r="H10" s="678">
        <f>SUM(H11+H16+H23+H29+H33)</f>
        <v>192774</v>
      </c>
      <c r="I10" s="1850">
        <f>SUM(I11+I16+I23+I29+I33)</f>
        <v>47821</v>
      </c>
      <c r="J10" s="2643">
        <v>450</v>
      </c>
      <c r="K10" s="2124" t="s">
        <v>579</v>
      </c>
      <c r="N10" s="2125"/>
      <c r="O10" s="2126"/>
      <c r="P10" s="1297"/>
      <c r="Q10" s="2125"/>
      <c r="R10" s="2126"/>
      <c r="S10" s="1297"/>
      <c r="T10" s="2125"/>
      <c r="U10" s="2126"/>
      <c r="V10" s="1297"/>
      <c r="W10" s="2165"/>
      <c r="X10" s="2166"/>
      <c r="Y10" s="659"/>
      <c r="Z10" s="676"/>
      <c r="AA10" s="659"/>
      <c r="AB10" s="676"/>
    </row>
    <row r="11" spans="1:28" s="166" customFormat="1" ht="45.75" customHeight="1" thickBot="1">
      <c r="A11" s="2127" t="s">
        <v>580</v>
      </c>
      <c r="B11" s="966">
        <f>SUM(B12:B14)</f>
        <v>1616</v>
      </c>
      <c r="C11" s="966">
        <f>SUM(C12:C14)</f>
        <v>658</v>
      </c>
      <c r="D11" s="966">
        <f>SUM(D12:D14)</f>
        <v>150</v>
      </c>
      <c r="E11" s="644" t="s">
        <v>852</v>
      </c>
      <c r="F11" s="644">
        <f>B11+C11+D11</f>
        <v>2424</v>
      </c>
      <c r="G11" s="644">
        <f>SUM(G12:G14)</f>
        <v>6251</v>
      </c>
      <c r="H11" s="644">
        <f>SUM(H12:H14)</f>
        <v>34362</v>
      </c>
      <c r="I11" s="644">
        <f>SUM(I12:I14)</f>
        <v>10004</v>
      </c>
      <c r="J11" s="644" t="s">
        <v>852</v>
      </c>
      <c r="K11" s="2128" t="s">
        <v>581</v>
      </c>
      <c r="M11" s="2129"/>
      <c r="N11" s="2130"/>
      <c r="O11" s="2131"/>
      <c r="P11" s="2132"/>
      <c r="Q11" s="2133"/>
      <c r="R11" s="2131"/>
      <c r="S11" s="2132"/>
      <c r="T11" s="2133"/>
      <c r="U11" s="2134"/>
      <c r="V11" s="2132"/>
      <c r="W11" s="2167"/>
      <c r="X11" s="2168"/>
      <c r="Y11" s="659"/>
      <c r="Z11" s="676"/>
      <c r="AA11" s="659"/>
      <c r="AB11" s="676"/>
    </row>
    <row r="12" spans="1:28" s="159" customFormat="1" ht="45.75" customHeight="1">
      <c r="A12" s="2135" t="s">
        <v>582</v>
      </c>
      <c r="B12" s="976">
        <v>266</v>
      </c>
      <c r="C12" s="976">
        <v>152</v>
      </c>
      <c r="D12" s="976">
        <v>48</v>
      </c>
      <c r="E12" s="641" t="s">
        <v>852</v>
      </c>
      <c r="F12" s="659">
        <f>B12+C12+D12</f>
        <v>466</v>
      </c>
      <c r="G12" s="641">
        <v>1034</v>
      </c>
      <c r="H12" s="641">
        <v>7955</v>
      </c>
      <c r="I12" s="641">
        <v>3183</v>
      </c>
      <c r="J12" s="641" t="s">
        <v>852</v>
      </c>
      <c r="K12" s="2136" t="s">
        <v>583</v>
      </c>
      <c r="M12" s="646"/>
      <c r="N12" s="2137"/>
      <c r="O12" s="2138"/>
      <c r="P12" s="2139"/>
      <c r="Q12" s="2137"/>
      <c r="R12" s="2138"/>
      <c r="S12" s="2139"/>
      <c r="T12" s="2137"/>
      <c r="U12" s="2140"/>
      <c r="V12" s="2139"/>
      <c r="W12" s="2167"/>
      <c r="X12" s="2168"/>
      <c r="Y12" s="659"/>
      <c r="Z12" s="640"/>
      <c r="AA12" s="641"/>
      <c r="AB12" s="676"/>
    </row>
    <row r="13" spans="1:28" s="159" customFormat="1" ht="45.75" customHeight="1">
      <c r="A13" s="2135" t="s">
        <v>584</v>
      </c>
      <c r="B13" s="976">
        <v>543</v>
      </c>
      <c r="C13" s="976">
        <v>233</v>
      </c>
      <c r="D13" s="976">
        <v>59</v>
      </c>
      <c r="E13" s="641" t="s">
        <v>852</v>
      </c>
      <c r="F13" s="659">
        <f>B13+C13+D13</f>
        <v>835</v>
      </c>
      <c r="G13" s="641">
        <v>2098</v>
      </c>
      <c r="H13" s="641">
        <v>12147</v>
      </c>
      <c r="I13" s="641">
        <v>3955</v>
      </c>
      <c r="J13" s="641" t="s">
        <v>852</v>
      </c>
      <c r="K13" s="2136" t="s">
        <v>584</v>
      </c>
      <c r="M13" s="650"/>
      <c r="N13" s="2141"/>
      <c r="O13" s="2142"/>
      <c r="P13" s="1301"/>
      <c r="Q13" s="2141"/>
      <c r="R13" s="2143"/>
      <c r="S13" s="1292"/>
      <c r="T13" s="2141"/>
      <c r="U13" s="2143"/>
      <c r="V13" s="1292"/>
      <c r="W13" s="2169"/>
      <c r="X13" s="2170"/>
      <c r="Y13" s="659"/>
      <c r="Z13" s="640"/>
      <c r="AA13" s="641"/>
      <c r="AB13" s="676"/>
    </row>
    <row r="14" spans="1:28" s="159" customFormat="1" ht="45.75" customHeight="1">
      <c r="A14" s="2135" t="s">
        <v>585</v>
      </c>
      <c r="B14" s="976">
        <v>807</v>
      </c>
      <c r="C14" s="976">
        <v>273</v>
      </c>
      <c r="D14" s="976">
        <v>43</v>
      </c>
      <c r="E14" s="641" t="s">
        <v>852</v>
      </c>
      <c r="F14" s="659">
        <f>B14+C14+D14</f>
        <v>1123</v>
      </c>
      <c r="G14" s="641">
        <v>3119</v>
      </c>
      <c r="H14" s="641">
        <v>14260</v>
      </c>
      <c r="I14" s="641">
        <v>2866</v>
      </c>
      <c r="J14" s="641" t="s">
        <v>852</v>
      </c>
      <c r="K14" s="2136" t="s">
        <v>585</v>
      </c>
      <c r="M14" s="650"/>
      <c r="N14" s="2141"/>
      <c r="O14" s="2142"/>
      <c r="P14" s="1301"/>
      <c r="Q14" s="2141"/>
      <c r="R14" s="2143"/>
      <c r="S14" s="1292"/>
      <c r="T14" s="2141"/>
      <c r="U14" s="2143"/>
      <c r="V14" s="1292"/>
      <c r="W14" s="2169"/>
      <c r="X14" s="2170"/>
      <c r="Y14" s="659"/>
      <c r="Z14" s="640"/>
      <c r="AA14" s="641"/>
      <c r="AB14" s="676"/>
    </row>
    <row r="15" spans="1:28" s="159" customFormat="1" ht="45.75" customHeight="1">
      <c r="A15" s="2135"/>
      <c r="B15" s="976"/>
      <c r="C15" s="976"/>
      <c r="D15" s="976"/>
      <c r="E15" s="641"/>
      <c r="F15" s="659"/>
      <c r="G15" s="641"/>
      <c r="H15" s="641"/>
      <c r="I15" s="641"/>
      <c r="J15" s="641"/>
      <c r="K15" s="2136"/>
      <c r="M15" s="650"/>
      <c r="N15" s="2141"/>
      <c r="O15" s="2142"/>
      <c r="P15" s="1301"/>
      <c r="Q15" s="2141"/>
      <c r="R15" s="2143"/>
      <c r="S15" s="1292"/>
      <c r="T15" s="2141"/>
      <c r="U15" s="2143"/>
      <c r="V15" s="1292"/>
      <c r="W15" s="2169"/>
      <c r="X15" s="2170"/>
      <c r="Y15" s="659"/>
      <c r="Z15" s="640"/>
      <c r="AA15" s="641"/>
      <c r="AB15" s="676"/>
    </row>
    <row r="16" spans="1:28" s="159" customFormat="1" ht="45.75" customHeight="1">
      <c r="A16" s="2144" t="s">
        <v>588</v>
      </c>
      <c r="B16" s="980">
        <f>SUM(B17:B21)</f>
        <v>1247</v>
      </c>
      <c r="C16" s="980">
        <f>SUM(C17:C21)</f>
        <v>1119</v>
      </c>
      <c r="D16" s="980">
        <f>SUM(D17:D21)</f>
        <v>167</v>
      </c>
      <c r="E16" s="659" t="s">
        <v>852</v>
      </c>
      <c r="F16" s="659">
        <f aca="true" t="shared" si="0" ref="F16:F21">SUM(B16:D16)</f>
        <v>2533</v>
      </c>
      <c r="G16" s="659">
        <f>SUM(G17:G21)</f>
        <v>4811</v>
      </c>
      <c r="H16" s="659">
        <f>SUM(H17:H21)</f>
        <v>58422</v>
      </c>
      <c r="I16" s="659">
        <f>SUM(I17:I21)</f>
        <v>11268</v>
      </c>
      <c r="J16" s="659" t="s">
        <v>852</v>
      </c>
      <c r="K16" s="2145" t="s">
        <v>589</v>
      </c>
      <c r="M16" s="650"/>
      <c r="N16" s="2141"/>
      <c r="O16" s="2142"/>
      <c r="P16" s="1301"/>
      <c r="Q16" s="2141"/>
      <c r="R16" s="2143"/>
      <c r="S16" s="1292"/>
      <c r="T16" s="2141"/>
      <c r="U16" s="2143"/>
      <c r="V16" s="1292"/>
      <c r="W16" s="2169"/>
      <c r="X16" s="2170"/>
      <c r="Y16" s="659"/>
      <c r="Z16" s="640"/>
      <c r="AA16" s="641"/>
      <c r="AB16" s="676"/>
    </row>
    <row r="17" spans="1:28" s="159" customFormat="1" ht="45.75" customHeight="1">
      <c r="A17" s="2135" t="s">
        <v>590</v>
      </c>
      <c r="B17" s="976">
        <v>140</v>
      </c>
      <c r="C17" s="976">
        <v>258</v>
      </c>
      <c r="D17" s="976">
        <v>38</v>
      </c>
      <c r="E17" s="641" t="s">
        <v>852</v>
      </c>
      <c r="F17" s="659">
        <f t="shared" si="0"/>
        <v>436</v>
      </c>
      <c r="G17" s="641">
        <v>540</v>
      </c>
      <c r="H17" s="641">
        <v>13488</v>
      </c>
      <c r="I17" s="641">
        <v>2561</v>
      </c>
      <c r="J17" s="641" t="s">
        <v>852</v>
      </c>
      <c r="K17" s="2136" t="s">
        <v>591</v>
      </c>
      <c r="M17" s="650"/>
      <c r="N17" s="2141"/>
      <c r="O17" s="2142"/>
      <c r="P17" s="1301"/>
      <c r="Q17" s="2141"/>
      <c r="R17" s="2143"/>
      <c r="S17" s="1292"/>
      <c r="T17" s="2141"/>
      <c r="U17" s="2143"/>
      <c r="V17" s="1292"/>
      <c r="W17" s="2169"/>
      <c r="X17" s="2170"/>
      <c r="Y17" s="659"/>
      <c r="Z17" s="640"/>
      <c r="AA17" s="641"/>
      <c r="AB17" s="676"/>
    </row>
    <row r="18" spans="1:28" s="166" customFormat="1" ht="45.75" customHeight="1">
      <c r="A18" s="2135" t="s">
        <v>592</v>
      </c>
      <c r="B18" s="976">
        <v>93</v>
      </c>
      <c r="C18" s="976">
        <v>183</v>
      </c>
      <c r="D18" s="976">
        <v>12</v>
      </c>
      <c r="E18" s="641" t="s">
        <v>852</v>
      </c>
      <c r="F18" s="659">
        <f t="shared" si="0"/>
        <v>288</v>
      </c>
      <c r="G18" s="641">
        <v>358</v>
      </c>
      <c r="H18" s="641">
        <v>9541</v>
      </c>
      <c r="I18" s="641">
        <v>798</v>
      </c>
      <c r="J18" s="641" t="s">
        <v>852</v>
      </c>
      <c r="K18" s="2136" t="s">
        <v>593</v>
      </c>
      <c r="M18" s="650"/>
      <c r="N18" s="2141"/>
      <c r="O18" s="2142"/>
      <c r="P18" s="1301"/>
      <c r="Q18" s="2141"/>
      <c r="R18" s="2142"/>
      <c r="S18" s="1301"/>
      <c r="T18" s="2141"/>
      <c r="U18" s="2143"/>
      <c r="V18" s="1301"/>
      <c r="W18" s="2169"/>
      <c r="X18" s="2170"/>
      <c r="Y18" s="659"/>
      <c r="Z18" s="676"/>
      <c r="AA18" s="659"/>
      <c r="AB18" s="676"/>
    </row>
    <row r="19" spans="1:28" s="159" customFormat="1" ht="45.75" customHeight="1">
      <c r="A19" s="2135" t="s">
        <v>594</v>
      </c>
      <c r="B19" s="976">
        <v>699</v>
      </c>
      <c r="C19" s="976">
        <v>418</v>
      </c>
      <c r="D19" s="976">
        <v>51</v>
      </c>
      <c r="E19" s="641" t="s">
        <v>852</v>
      </c>
      <c r="F19" s="659">
        <f t="shared" si="0"/>
        <v>1168</v>
      </c>
      <c r="G19" s="641">
        <v>2699</v>
      </c>
      <c r="H19" s="641">
        <v>21811</v>
      </c>
      <c r="I19" s="641">
        <v>3483</v>
      </c>
      <c r="J19" s="641" t="s">
        <v>852</v>
      </c>
      <c r="K19" s="2136" t="s">
        <v>594</v>
      </c>
      <c r="M19" s="657"/>
      <c r="N19" s="2137"/>
      <c r="O19" s="2138"/>
      <c r="P19" s="2139"/>
      <c r="Q19" s="2137"/>
      <c r="R19" s="2138"/>
      <c r="S19" s="2139"/>
      <c r="T19" s="2137"/>
      <c r="U19" s="2140"/>
      <c r="V19" s="2139"/>
      <c r="W19" s="2167"/>
      <c r="X19" s="2168"/>
      <c r="Y19" s="659"/>
      <c r="Z19" s="640"/>
      <c r="AA19" s="641"/>
      <c r="AB19" s="676"/>
    </row>
    <row r="20" spans="1:28" s="159" customFormat="1" ht="45.75" customHeight="1">
      <c r="A20" s="2135" t="s">
        <v>599</v>
      </c>
      <c r="B20" s="976">
        <v>172</v>
      </c>
      <c r="C20" s="976">
        <v>160</v>
      </c>
      <c r="D20" s="976">
        <v>38</v>
      </c>
      <c r="E20" s="641" t="s">
        <v>852</v>
      </c>
      <c r="F20" s="659">
        <f t="shared" si="0"/>
        <v>370</v>
      </c>
      <c r="G20" s="641">
        <v>663</v>
      </c>
      <c r="H20" s="641">
        <v>8368</v>
      </c>
      <c r="I20" s="641">
        <v>2547</v>
      </c>
      <c r="J20" s="641" t="s">
        <v>852</v>
      </c>
      <c r="K20" s="2136" t="s">
        <v>599</v>
      </c>
      <c r="M20" s="650"/>
      <c r="N20" s="2141"/>
      <c r="O20" s="2142"/>
      <c r="P20" s="1301"/>
      <c r="Q20" s="2141"/>
      <c r="R20" s="2143"/>
      <c r="S20" s="1292"/>
      <c r="T20" s="2141"/>
      <c r="U20" s="2143"/>
      <c r="V20" s="1292"/>
      <c r="W20" s="2169"/>
      <c r="X20" s="2170"/>
      <c r="Y20" s="659"/>
      <c r="Z20" s="640"/>
      <c r="AA20" s="641"/>
      <c r="AB20" s="676"/>
    </row>
    <row r="21" spans="1:28" s="159" customFormat="1" ht="45.75" customHeight="1">
      <c r="A21" s="2135" t="s">
        <v>598</v>
      </c>
      <c r="B21" s="976">
        <v>143</v>
      </c>
      <c r="C21" s="976">
        <v>100</v>
      </c>
      <c r="D21" s="976">
        <v>28</v>
      </c>
      <c r="E21" s="641" t="s">
        <v>852</v>
      </c>
      <c r="F21" s="659">
        <f t="shared" si="0"/>
        <v>271</v>
      </c>
      <c r="G21" s="641">
        <v>551</v>
      </c>
      <c r="H21" s="641">
        <v>5214</v>
      </c>
      <c r="I21" s="641">
        <v>1879</v>
      </c>
      <c r="J21" s="641" t="s">
        <v>852</v>
      </c>
      <c r="K21" s="2136" t="s">
        <v>598</v>
      </c>
      <c r="M21" s="650"/>
      <c r="N21" s="2141"/>
      <c r="O21" s="2142"/>
      <c r="P21" s="1301"/>
      <c r="Q21" s="2141"/>
      <c r="R21" s="2143"/>
      <c r="S21" s="1292"/>
      <c r="T21" s="2141"/>
      <c r="U21" s="2143"/>
      <c r="V21" s="1292"/>
      <c r="W21" s="2169"/>
      <c r="X21" s="2170"/>
      <c r="Y21" s="659"/>
      <c r="Z21" s="640"/>
      <c r="AA21" s="641"/>
      <c r="AB21" s="676"/>
    </row>
    <row r="22" spans="1:28" s="159" customFormat="1" ht="45.75" customHeight="1">
      <c r="A22" s="1627"/>
      <c r="B22" s="976"/>
      <c r="C22" s="976"/>
      <c r="D22" s="976"/>
      <c r="E22" s="641"/>
      <c r="F22" s="659"/>
      <c r="G22" s="641"/>
      <c r="H22" s="641"/>
      <c r="I22" s="641"/>
      <c r="J22" s="641"/>
      <c r="K22" s="2136"/>
      <c r="M22" s="650"/>
      <c r="N22" s="2141"/>
      <c r="O22" s="2142"/>
      <c r="P22" s="1301"/>
      <c r="Q22" s="2141"/>
      <c r="R22" s="2143"/>
      <c r="S22" s="1292"/>
      <c r="T22" s="2141"/>
      <c r="U22" s="2143"/>
      <c r="V22" s="1292"/>
      <c r="W22" s="2169"/>
      <c r="X22" s="2170"/>
      <c r="Y22" s="659"/>
      <c r="Z22" s="640"/>
      <c r="AA22" s="641"/>
      <c r="AB22" s="676"/>
    </row>
    <row r="23" spans="1:28" s="159" customFormat="1" ht="45.75" customHeight="1">
      <c r="A23" s="2144" t="s">
        <v>601</v>
      </c>
      <c r="B23" s="980">
        <f>SUM(B24:B27)</f>
        <v>388</v>
      </c>
      <c r="C23" s="980">
        <f>SUM(C24:C27)</f>
        <v>627</v>
      </c>
      <c r="D23" s="980">
        <f>SUM(D24:D27)</f>
        <v>222</v>
      </c>
      <c r="E23" s="659" t="s">
        <v>852</v>
      </c>
      <c r="F23" s="659">
        <f>SUM(B23:D23)</f>
        <v>1237</v>
      </c>
      <c r="G23" s="659">
        <f>SUM(G24:G27)</f>
        <v>1499</v>
      </c>
      <c r="H23" s="659">
        <f>SUM(H24:H27)</f>
        <v>32708</v>
      </c>
      <c r="I23" s="659">
        <f>SUM(I24:I27)</f>
        <v>14825</v>
      </c>
      <c r="J23" s="659" t="s">
        <v>852</v>
      </c>
      <c r="K23" s="2145" t="s">
        <v>602</v>
      </c>
      <c r="M23" s="650"/>
      <c r="N23" s="2141"/>
      <c r="O23" s="2142"/>
      <c r="P23" s="1301"/>
      <c r="Q23" s="2141"/>
      <c r="R23" s="2143"/>
      <c r="S23" s="1292"/>
      <c r="T23" s="2141"/>
      <c r="U23" s="2143"/>
      <c r="V23" s="1292"/>
      <c r="W23" s="2169"/>
      <c r="X23" s="2170"/>
      <c r="Y23" s="659"/>
      <c r="Z23" s="640"/>
      <c r="AA23" s="641"/>
      <c r="AB23" s="676"/>
    </row>
    <row r="24" spans="1:28" s="159" customFormat="1" ht="45.75" customHeight="1">
      <c r="A24" s="2135" t="s">
        <v>603</v>
      </c>
      <c r="B24" s="976">
        <v>113</v>
      </c>
      <c r="C24" s="976">
        <v>100</v>
      </c>
      <c r="D24" s="976">
        <v>57</v>
      </c>
      <c r="E24" s="641" t="s">
        <v>852</v>
      </c>
      <c r="F24" s="659">
        <f>SUM(B24:D24)</f>
        <v>270</v>
      </c>
      <c r="G24" s="641">
        <v>437</v>
      </c>
      <c r="H24" s="641">
        <v>5208</v>
      </c>
      <c r="I24" s="641">
        <v>3784</v>
      </c>
      <c r="J24" s="641" t="s">
        <v>852</v>
      </c>
      <c r="K24" s="2136" t="s">
        <v>604</v>
      </c>
      <c r="M24" s="650"/>
      <c r="N24" s="2141"/>
      <c r="O24" s="2142"/>
      <c r="P24" s="1301"/>
      <c r="Q24" s="2141"/>
      <c r="R24" s="2143"/>
      <c r="S24" s="1292"/>
      <c r="T24" s="2141"/>
      <c r="U24" s="2143"/>
      <c r="V24" s="1292"/>
      <c r="W24" s="2169"/>
      <c r="X24" s="2170"/>
      <c r="Y24" s="659"/>
      <c r="Z24" s="640"/>
      <c r="AA24" s="641"/>
      <c r="AB24" s="676"/>
    </row>
    <row r="25" spans="1:28" s="159" customFormat="1" ht="45.75" customHeight="1">
      <c r="A25" s="2135" t="s">
        <v>605</v>
      </c>
      <c r="B25" s="976">
        <v>5</v>
      </c>
      <c r="C25" s="976">
        <v>50</v>
      </c>
      <c r="D25" s="976">
        <v>17</v>
      </c>
      <c r="E25" s="641" t="s">
        <v>852</v>
      </c>
      <c r="F25" s="659">
        <f>SUM(B25:D25)</f>
        <v>72</v>
      </c>
      <c r="G25" s="641">
        <v>19</v>
      </c>
      <c r="H25" s="641">
        <v>2613</v>
      </c>
      <c r="I25" s="641">
        <v>1117</v>
      </c>
      <c r="J25" s="641" t="s">
        <v>852</v>
      </c>
      <c r="K25" s="2136" t="s">
        <v>606</v>
      </c>
      <c r="M25" s="650"/>
      <c r="N25" s="2141"/>
      <c r="O25" s="2142"/>
      <c r="P25" s="1301"/>
      <c r="Q25" s="2141"/>
      <c r="R25" s="2143"/>
      <c r="S25" s="1292"/>
      <c r="T25" s="2141"/>
      <c r="U25" s="2143"/>
      <c r="V25" s="1292"/>
      <c r="W25" s="2169"/>
      <c r="X25" s="2170"/>
      <c r="Y25" s="659"/>
      <c r="Z25" s="640"/>
      <c r="AA25" s="641"/>
      <c r="AB25" s="676"/>
    </row>
    <row r="26" spans="1:28" s="159" customFormat="1" ht="45.75" customHeight="1">
      <c r="A26" s="2135" t="s">
        <v>607</v>
      </c>
      <c r="B26" s="976">
        <v>139</v>
      </c>
      <c r="C26" s="976">
        <v>242</v>
      </c>
      <c r="D26" s="976">
        <v>67</v>
      </c>
      <c r="E26" s="641" t="s">
        <v>852</v>
      </c>
      <c r="F26" s="659">
        <f>SUM(B26:D26)</f>
        <v>448</v>
      </c>
      <c r="G26" s="641">
        <v>535</v>
      </c>
      <c r="H26" s="641">
        <v>12627</v>
      </c>
      <c r="I26" s="641">
        <v>4513</v>
      </c>
      <c r="J26" s="641" t="s">
        <v>852</v>
      </c>
      <c r="K26" s="2136" t="s">
        <v>607</v>
      </c>
      <c r="M26" s="650"/>
      <c r="N26" s="2141"/>
      <c r="O26" s="2142"/>
      <c r="P26" s="1301"/>
      <c r="Q26" s="2141"/>
      <c r="R26" s="2143"/>
      <c r="S26" s="1292"/>
      <c r="T26" s="2141"/>
      <c r="U26" s="2143"/>
      <c r="V26" s="1292"/>
      <c r="W26" s="2169"/>
      <c r="X26" s="2170"/>
      <c r="Y26" s="659"/>
      <c r="Z26" s="640"/>
      <c r="AA26" s="641"/>
      <c r="AB26" s="676"/>
    </row>
    <row r="27" spans="1:28" s="159" customFormat="1" ht="45.75" customHeight="1">
      <c r="A27" s="2135" t="s">
        <v>608</v>
      </c>
      <c r="B27" s="976">
        <v>131</v>
      </c>
      <c r="C27" s="976">
        <v>235</v>
      </c>
      <c r="D27" s="976">
        <v>81</v>
      </c>
      <c r="E27" s="641" t="s">
        <v>852</v>
      </c>
      <c r="F27" s="659">
        <f>SUM(B27:D27)</f>
        <v>447</v>
      </c>
      <c r="G27" s="641">
        <v>508</v>
      </c>
      <c r="H27" s="641">
        <v>12260</v>
      </c>
      <c r="I27" s="641">
        <v>5411</v>
      </c>
      <c r="J27" s="641" t="s">
        <v>852</v>
      </c>
      <c r="K27" s="2136" t="s">
        <v>608</v>
      </c>
      <c r="M27" s="650"/>
      <c r="N27" s="2141"/>
      <c r="O27" s="2142"/>
      <c r="P27" s="1301"/>
      <c r="Q27" s="2141"/>
      <c r="R27" s="2143"/>
      <c r="S27" s="1292"/>
      <c r="T27" s="2141"/>
      <c r="U27" s="2143"/>
      <c r="V27" s="1292"/>
      <c r="W27" s="2169"/>
      <c r="X27" s="2170"/>
      <c r="Y27" s="659"/>
      <c r="Z27" s="640"/>
      <c r="AA27" s="641"/>
      <c r="AB27" s="676"/>
    </row>
    <row r="28" spans="1:28" s="166" customFormat="1" ht="45.75" customHeight="1">
      <c r="A28" s="2146"/>
      <c r="B28" s="980"/>
      <c r="C28" s="980"/>
      <c r="D28" s="980"/>
      <c r="E28" s="659"/>
      <c r="F28" s="659"/>
      <c r="G28" s="659"/>
      <c r="H28" s="659"/>
      <c r="I28" s="659"/>
      <c r="J28" s="659"/>
      <c r="K28" s="2145"/>
      <c r="M28" s="650"/>
      <c r="N28" s="2141"/>
      <c r="O28" s="2142"/>
      <c r="P28" s="1301"/>
      <c r="Q28" s="2141"/>
      <c r="R28" s="2142"/>
      <c r="S28" s="1301"/>
      <c r="T28" s="2141"/>
      <c r="U28" s="2143"/>
      <c r="V28" s="1301"/>
      <c r="W28" s="2169"/>
      <c r="X28" s="2170"/>
      <c r="Y28" s="659"/>
      <c r="Z28" s="676"/>
      <c r="AA28" s="659"/>
      <c r="AB28" s="676"/>
    </row>
    <row r="29" spans="1:28" s="159" customFormat="1" ht="45.75" customHeight="1">
      <c r="A29" s="2146" t="s">
        <v>1286</v>
      </c>
      <c r="B29" s="980">
        <f>SUM(B30:B31)</f>
        <v>322</v>
      </c>
      <c r="C29" s="980">
        <f>SUM(C30:C31)</f>
        <v>507</v>
      </c>
      <c r="D29" s="980">
        <f>SUM(D30:D31)</f>
        <v>101</v>
      </c>
      <c r="E29" s="659" t="s">
        <v>852</v>
      </c>
      <c r="F29" s="659">
        <f>SUM(B29:D29)</f>
        <v>930</v>
      </c>
      <c r="G29" s="659">
        <f>SUM(G30:G31)</f>
        <v>1243</v>
      </c>
      <c r="H29" s="659">
        <f>SUM(H30:H31)</f>
        <v>26455</v>
      </c>
      <c r="I29" s="659">
        <f>SUM(I30:I31)</f>
        <v>6732</v>
      </c>
      <c r="J29" s="659" t="s">
        <v>852</v>
      </c>
      <c r="K29" s="1889" t="s">
        <v>1286</v>
      </c>
      <c r="M29" s="657"/>
      <c r="N29" s="2137"/>
      <c r="O29" s="2138"/>
      <c r="P29" s="2139"/>
      <c r="Q29" s="2137"/>
      <c r="R29" s="2138"/>
      <c r="S29" s="2139"/>
      <c r="T29" s="2137"/>
      <c r="U29" s="2140"/>
      <c r="V29" s="2139"/>
      <c r="W29" s="2167"/>
      <c r="X29" s="2168"/>
      <c r="Y29" s="659"/>
      <c r="Z29" s="640"/>
      <c r="AA29" s="641"/>
      <c r="AB29" s="676"/>
    </row>
    <row r="30" spans="1:28" s="159" customFormat="1" ht="45.75" customHeight="1">
      <c r="A30" s="1627" t="s">
        <v>586</v>
      </c>
      <c r="B30" s="976">
        <v>249</v>
      </c>
      <c r="C30" s="976">
        <v>371</v>
      </c>
      <c r="D30" s="976">
        <v>75</v>
      </c>
      <c r="E30" s="641" t="s">
        <v>852</v>
      </c>
      <c r="F30" s="659">
        <f>SUM(B30:D30)</f>
        <v>695</v>
      </c>
      <c r="G30" s="641">
        <v>963</v>
      </c>
      <c r="H30" s="641">
        <v>19349</v>
      </c>
      <c r="I30" s="641">
        <v>5002</v>
      </c>
      <c r="J30" s="641" t="s">
        <v>852</v>
      </c>
      <c r="K30" s="1888" t="s">
        <v>586</v>
      </c>
      <c r="M30" s="650"/>
      <c r="N30" s="2141"/>
      <c r="O30" s="2142"/>
      <c r="P30" s="1301"/>
      <c r="Q30" s="2141"/>
      <c r="R30" s="2143"/>
      <c r="S30" s="1292"/>
      <c r="T30" s="2141"/>
      <c r="U30" s="2143"/>
      <c r="V30" s="1292"/>
      <c r="W30" s="2169"/>
      <c r="X30" s="2170"/>
      <c r="Y30" s="659"/>
      <c r="Z30" s="640"/>
      <c r="AA30" s="641"/>
      <c r="AB30" s="676"/>
    </row>
    <row r="31" spans="1:28" s="159" customFormat="1" ht="45.75" customHeight="1">
      <c r="A31" s="1627" t="s">
        <v>587</v>
      </c>
      <c r="B31" s="976">
        <v>73</v>
      </c>
      <c r="C31" s="976">
        <v>136</v>
      </c>
      <c r="D31" s="976">
        <v>26</v>
      </c>
      <c r="E31" s="641" t="s">
        <v>852</v>
      </c>
      <c r="F31" s="659">
        <f>SUM(B31:D31)</f>
        <v>235</v>
      </c>
      <c r="G31" s="641">
        <v>280</v>
      </c>
      <c r="H31" s="641">
        <v>7106</v>
      </c>
      <c r="I31" s="641">
        <v>1730</v>
      </c>
      <c r="J31" s="641" t="s">
        <v>852</v>
      </c>
      <c r="K31" s="1888" t="s">
        <v>587</v>
      </c>
      <c r="M31" s="650"/>
      <c r="N31" s="2141"/>
      <c r="O31" s="2142"/>
      <c r="P31" s="1301"/>
      <c r="Q31" s="2141"/>
      <c r="R31" s="2143"/>
      <c r="S31" s="1292"/>
      <c r="T31" s="2141"/>
      <c r="U31" s="2143"/>
      <c r="V31" s="1292"/>
      <c r="W31" s="2169"/>
      <c r="X31" s="2170"/>
      <c r="Y31" s="659"/>
      <c r="Z31" s="640"/>
      <c r="AA31" s="641"/>
      <c r="AB31" s="676"/>
    </row>
    <row r="32" spans="1:28" s="159" customFormat="1" ht="45.75" customHeight="1">
      <c r="A32" s="1627"/>
      <c r="B32" s="976"/>
      <c r="C32" s="976"/>
      <c r="D32" s="976"/>
      <c r="E32" s="641"/>
      <c r="F32" s="659"/>
      <c r="G32" s="641"/>
      <c r="H32" s="641"/>
      <c r="I32" s="641"/>
      <c r="J32" s="641"/>
      <c r="K32" s="2136"/>
      <c r="M32" s="650"/>
      <c r="N32" s="2141"/>
      <c r="O32" s="2142"/>
      <c r="P32" s="1301"/>
      <c r="Q32" s="2141"/>
      <c r="R32" s="2143"/>
      <c r="S32" s="1292"/>
      <c r="T32" s="2141"/>
      <c r="U32" s="2143"/>
      <c r="V32" s="1292"/>
      <c r="W32" s="2169"/>
      <c r="X32" s="2170"/>
      <c r="Y32" s="659"/>
      <c r="Z32" s="640"/>
      <c r="AA32" s="641"/>
      <c r="AB32" s="676"/>
    </row>
    <row r="33" spans="1:24" s="159" customFormat="1" ht="45.75" customHeight="1" thickBot="1">
      <c r="A33" s="2146" t="s">
        <v>1287</v>
      </c>
      <c r="B33" s="980">
        <f>SUM(B34:B36)</f>
        <v>371</v>
      </c>
      <c r="C33" s="980">
        <f>SUM(C34:C36)</f>
        <v>782</v>
      </c>
      <c r="D33" s="980">
        <f>SUM(D34:D36)</f>
        <v>75</v>
      </c>
      <c r="E33" s="659" t="s">
        <v>852</v>
      </c>
      <c r="F33" s="659">
        <f>SUM(B33:D33)</f>
        <v>1228</v>
      </c>
      <c r="G33" s="659">
        <f>SUM(G34:G36)</f>
        <v>1434</v>
      </c>
      <c r="H33" s="659">
        <f>SUM(H34:H36)</f>
        <v>40827</v>
      </c>
      <c r="I33" s="659">
        <f>SUM(I34:I36)</f>
        <v>4992</v>
      </c>
      <c r="J33" s="659" t="s">
        <v>852</v>
      </c>
      <c r="K33" s="2145" t="s">
        <v>1287</v>
      </c>
      <c r="M33" s="650"/>
      <c r="N33" s="2419"/>
      <c r="O33" s="2142"/>
      <c r="P33" s="1306"/>
      <c r="Q33" s="2419"/>
      <c r="R33" s="2143"/>
      <c r="S33" s="2147"/>
      <c r="T33" s="2419"/>
      <c r="U33" s="2143"/>
      <c r="V33" s="2147"/>
      <c r="W33" s="2171"/>
      <c r="X33" s="2170"/>
    </row>
    <row r="34" spans="1:24" s="159" customFormat="1" ht="45.75" customHeight="1">
      <c r="A34" s="1627" t="s">
        <v>1273</v>
      </c>
      <c r="B34" s="976">
        <v>168</v>
      </c>
      <c r="C34" s="976">
        <v>161</v>
      </c>
      <c r="D34" s="976">
        <v>26</v>
      </c>
      <c r="E34" s="641" t="s">
        <v>852</v>
      </c>
      <c r="F34" s="659">
        <f>SUM(B34:D34)</f>
        <v>355</v>
      </c>
      <c r="G34" s="641">
        <v>651</v>
      </c>
      <c r="H34" s="641">
        <v>8415</v>
      </c>
      <c r="I34" s="641">
        <v>1732</v>
      </c>
      <c r="J34" s="641" t="s">
        <v>852</v>
      </c>
      <c r="K34" s="2136" t="s">
        <v>1294</v>
      </c>
      <c r="W34" s="2162"/>
      <c r="X34" s="2162"/>
    </row>
    <row r="35" spans="1:24" s="159" customFormat="1" ht="45.75" customHeight="1">
      <c r="A35" s="1627" t="s">
        <v>596</v>
      </c>
      <c r="B35" s="976">
        <v>66</v>
      </c>
      <c r="C35" s="976">
        <v>196</v>
      </c>
      <c r="D35" s="976">
        <v>11</v>
      </c>
      <c r="E35" s="641" t="s">
        <v>852</v>
      </c>
      <c r="F35" s="659">
        <f>SUM(B35:D35)</f>
        <v>273</v>
      </c>
      <c r="G35" s="641">
        <v>254</v>
      </c>
      <c r="H35" s="641">
        <v>10235</v>
      </c>
      <c r="I35" s="641">
        <v>748</v>
      </c>
      <c r="J35" s="641" t="s">
        <v>852</v>
      </c>
      <c r="K35" s="2136" t="s">
        <v>596</v>
      </c>
      <c r="N35" s="2119"/>
      <c r="O35" s="2120"/>
      <c r="P35" s="2120"/>
      <c r="R35" s="2119"/>
      <c r="S35" s="2119"/>
      <c r="U35" s="2119"/>
      <c r="W35" s="2162"/>
      <c r="X35" s="2162"/>
    </row>
    <row r="36" spans="1:24" s="159" customFormat="1" ht="45.75" customHeight="1" thickBot="1">
      <c r="A36" s="2148" t="s">
        <v>595</v>
      </c>
      <c r="B36" s="2149">
        <v>137</v>
      </c>
      <c r="C36" s="2149">
        <v>425</v>
      </c>
      <c r="D36" s="2149">
        <v>38</v>
      </c>
      <c r="E36" s="344" t="s">
        <v>852</v>
      </c>
      <c r="F36" s="2150">
        <f>SUM(B36:D36)</f>
        <v>600</v>
      </c>
      <c r="G36" s="344">
        <v>529</v>
      </c>
      <c r="H36" s="344">
        <v>22177</v>
      </c>
      <c r="I36" s="344">
        <v>2512</v>
      </c>
      <c r="J36" s="344" t="s">
        <v>852</v>
      </c>
      <c r="K36" s="2151" t="s">
        <v>595</v>
      </c>
      <c r="W36" s="2162"/>
      <c r="X36" s="2162"/>
    </row>
    <row r="37" spans="1:24" s="159" customFormat="1" ht="21" thickBot="1">
      <c r="A37" s="159" t="s">
        <v>1295</v>
      </c>
      <c r="B37" s="949"/>
      <c r="C37" s="949"/>
      <c r="D37" s="949"/>
      <c r="K37" s="631"/>
      <c r="N37" s="2125"/>
      <c r="O37" s="2126"/>
      <c r="P37" s="1297"/>
      <c r="Q37" s="2125"/>
      <c r="R37" s="2126"/>
      <c r="S37" s="1297"/>
      <c r="T37" s="2125"/>
      <c r="U37" s="2126"/>
      <c r="W37" s="2162"/>
      <c r="X37" s="2162"/>
    </row>
    <row r="38" spans="2:24" s="159" customFormat="1" ht="21" thickBot="1">
      <c r="B38" s="949"/>
      <c r="C38" s="949"/>
      <c r="D38" s="949"/>
      <c r="K38" s="631"/>
      <c r="M38" s="2129"/>
      <c r="N38" s="2130"/>
      <c r="O38" s="2131"/>
      <c r="P38" s="2132"/>
      <c r="Q38" s="2133"/>
      <c r="R38" s="2131"/>
      <c r="S38" s="2132"/>
      <c r="T38" s="2133"/>
      <c r="U38" s="2134"/>
      <c r="W38" s="2162"/>
      <c r="X38" s="2162"/>
    </row>
    <row r="39" spans="2:24" s="159" customFormat="1" ht="20.25">
      <c r="B39" s="949"/>
      <c r="C39" s="949"/>
      <c r="D39" s="949"/>
      <c r="K39" s="631"/>
      <c r="M39" s="646"/>
      <c r="N39" s="2137"/>
      <c r="O39" s="2138"/>
      <c r="P39" s="2139"/>
      <c r="Q39" s="2137"/>
      <c r="R39" s="2138"/>
      <c r="S39" s="2139"/>
      <c r="T39" s="2137"/>
      <c r="U39" s="2140"/>
      <c r="W39" s="2162"/>
      <c r="X39" s="2162"/>
    </row>
    <row r="40" spans="2:24" s="159" customFormat="1" ht="20.25">
      <c r="B40" s="949"/>
      <c r="C40" s="949"/>
      <c r="D40" s="949"/>
      <c r="K40" s="631"/>
      <c r="M40" s="650"/>
      <c r="N40" s="2141"/>
      <c r="O40" s="2142"/>
      <c r="P40" s="1301"/>
      <c r="Q40" s="2141"/>
      <c r="R40" s="2143"/>
      <c r="S40" s="1292"/>
      <c r="T40" s="2141"/>
      <c r="U40" s="2143"/>
      <c r="W40" s="2162"/>
      <c r="X40" s="2162"/>
    </row>
    <row r="41" spans="2:24" s="159" customFormat="1" ht="20.25">
      <c r="B41" s="949"/>
      <c r="C41" s="949"/>
      <c r="D41" s="949"/>
      <c r="K41" s="631"/>
      <c r="M41" s="650"/>
      <c r="N41" s="2141"/>
      <c r="O41" s="2142"/>
      <c r="P41" s="1301"/>
      <c r="Q41" s="2141"/>
      <c r="R41" s="2143"/>
      <c r="S41" s="1292"/>
      <c r="T41" s="2141"/>
      <c r="U41" s="2143"/>
      <c r="W41" s="2162"/>
      <c r="X41" s="2162"/>
    </row>
    <row r="42" spans="2:24" s="159" customFormat="1" ht="20.25">
      <c r="B42" s="949"/>
      <c r="C42" s="949"/>
      <c r="D42" s="949"/>
      <c r="K42" s="631"/>
      <c r="M42" s="650"/>
      <c r="N42" s="2141"/>
      <c r="O42" s="2142"/>
      <c r="P42" s="1301"/>
      <c r="Q42" s="2141"/>
      <c r="R42" s="2143"/>
      <c r="S42" s="1292"/>
      <c r="T42" s="2141"/>
      <c r="U42" s="2143"/>
      <c r="W42" s="2162"/>
      <c r="X42" s="2162"/>
    </row>
    <row r="43" spans="2:24" s="159" customFormat="1" ht="20.25">
      <c r="B43" s="949"/>
      <c r="C43" s="949"/>
      <c r="D43" s="949"/>
      <c r="K43" s="631"/>
      <c r="M43" s="650"/>
      <c r="N43" s="2141"/>
      <c r="O43" s="2142"/>
      <c r="P43" s="1301"/>
      <c r="Q43" s="2141"/>
      <c r="R43" s="2143"/>
      <c r="S43" s="1292"/>
      <c r="T43" s="2141"/>
      <c r="U43" s="2143"/>
      <c r="W43" s="2162"/>
      <c r="X43" s="2162"/>
    </row>
    <row r="44" spans="2:24" s="159" customFormat="1" ht="20.25">
      <c r="B44" s="949"/>
      <c r="C44" s="949"/>
      <c r="D44" s="949"/>
      <c r="K44" s="631"/>
      <c r="M44" s="650"/>
      <c r="N44" s="2141"/>
      <c r="O44" s="2142"/>
      <c r="P44" s="1301"/>
      <c r="Q44" s="2141"/>
      <c r="R44" s="2143"/>
      <c r="S44" s="1292"/>
      <c r="T44" s="2141"/>
      <c r="U44" s="2143"/>
      <c r="W44" s="2162"/>
      <c r="X44" s="2162"/>
    </row>
    <row r="45" spans="2:24" s="159" customFormat="1" ht="20.25">
      <c r="B45" s="949"/>
      <c r="C45" s="949"/>
      <c r="D45" s="949"/>
      <c r="K45" s="631"/>
      <c r="M45" s="650"/>
      <c r="N45" s="2141"/>
      <c r="O45" s="2142"/>
      <c r="P45" s="1301"/>
      <c r="Q45" s="2141"/>
      <c r="R45" s="2142"/>
      <c r="S45" s="1301"/>
      <c r="T45" s="2141"/>
      <c r="U45" s="2143"/>
      <c r="W45" s="2162"/>
      <c r="X45" s="2162"/>
    </row>
    <row r="46" spans="2:24" s="159" customFormat="1" ht="20.25">
      <c r="B46" s="949"/>
      <c r="C46" s="949"/>
      <c r="D46" s="949"/>
      <c r="K46" s="631"/>
      <c r="M46" s="657"/>
      <c r="N46" s="2137"/>
      <c r="O46" s="2138"/>
      <c r="P46" s="2139"/>
      <c r="Q46" s="2137"/>
      <c r="R46" s="2138"/>
      <c r="S46" s="2139"/>
      <c r="T46" s="2137"/>
      <c r="U46" s="2140"/>
      <c r="W46" s="2162"/>
      <c r="X46" s="2162"/>
    </row>
    <row r="47" spans="2:24" s="159" customFormat="1" ht="20.25">
      <c r="B47" s="949"/>
      <c r="C47" s="949"/>
      <c r="D47" s="949"/>
      <c r="K47" s="631"/>
      <c r="M47" s="650"/>
      <c r="N47" s="2141"/>
      <c r="O47" s="2142"/>
      <c r="P47" s="1301"/>
      <c r="Q47" s="2141"/>
      <c r="R47" s="2143"/>
      <c r="S47" s="1292"/>
      <c r="T47" s="2141"/>
      <c r="U47" s="2143"/>
      <c r="W47" s="2162"/>
      <c r="X47" s="2162"/>
    </row>
    <row r="48" spans="2:24" s="159" customFormat="1" ht="20.25">
      <c r="B48" s="949"/>
      <c r="C48" s="949"/>
      <c r="D48" s="949"/>
      <c r="K48" s="631"/>
      <c r="M48" s="650"/>
      <c r="N48" s="2141"/>
      <c r="O48" s="2142"/>
      <c r="P48" s="1301"/>
      <c r="Q48" s="2141"/>
      <c r="R48" s="2143"/>
      <c r="S48" s="1292"/>
      <c r="T48" s="2141"/>
      <c r="U48" s="2143"/>
      <c r="W48" s="2162"/>
      <c r="X48" s="2162"/>
    </row>
    <row r="49" spans="2:24" s="159" customFormat="1" ht="20.25">
      <c r="B49" s="949"/>
      <c r="C49" s="949"/>
      <c r="D49" s="949"/>
      <c r="K49" s="631"/>
      <c r="M49" s="650"/>
      <c r="N49" s="2141"/>
      <c r="O49" s="2142"/>
      <c r="P49" s="1301"/>
      <c r="Q49" s="2141"/>
      <c r="R49" s="2143"/>
      <c r="S49" s="1292"/>
      <c r="T49" s="2141"/>
      <c r="U49" s="2143"/>
      <c r="W49" s="2162"/>
      <c r="X49" s="2162"/>
    </row>
    <row r="50" spans="2:24" s="159" customFormat="1" ht="20.25">
      <c r="B50" s="949"/>
      <c r="C50" s="949"/>
      <c r="D50" s="949"/>
      <c r="K50" s="631"/>
      <c r="M50" s="650"/>
      <c r="N50" s="2141"/>
      <c r="O50" s="2142"/>
      <c r="P50" s="1301"/>
      <c r="Q50" s="2141"/>
      <c r="R50" s="2143"/>
      <c r="S50" s="1292"/>
      <c r="T50" s="2141"/>
      <c r="U50" s="2143"/>
      <c r="W50" s="2162"/>
      <c r="X50" s="2162"/>
    </row>
    <row r="51" spans="2:24" s="159" customFormat="1" ht="20.25">
      <c r="B51" s="949"/>
      <c r="C51" s="949"/>
      <c r="D51" s="949"/>
      <c r="K51" s="631"/>
      <c r="M51" s="650"/>
      <c r="N51" s="2141"/>
      <c r="O51" s="2142"/>
      <c r="P51" s="1301"/>
      <c r="Q51" s="2141"/>
      <c r="R51" s="2143"/>
      <c r="S51" s="1292"/>
      <c r="T51" s="2141"/>
      <c r="U51" s="2143"/>
      <c r="W51" s="2162"/>
      <c r="X51" s="2162"/>
    </row>
    <row r="52" spans="2:24" s="159" customFormat="1" ht="20.25">
      <c r="B52" s="949"/>
      <c r="C52" s="949"/>
      <c r="D52" s="949"/>
      <c r="K52" s="631"/>
      <c r="M52" s="650"/>
      <c r="N52" s="2141"/>
      <c r="O52" s="2142"/>
      <c r="P52" s="1301"/>
      <c r="Q52" s="2141"/>
      <c r="R52" s="2143"/>
      <c r="S52" s="1292"/>
      <c r="T52" s="2141"/>
      <c r="U52" s="2143"/>
      <c r="W52" s="2162"/>
      <c r="X52" s="2162"/>
    </row>
    <row r="53" spans="2:24" s="159" customFormat="1" ht="20.25">
      <c r="B53" s="949"/>
      <c r="C53" s="949"/>
      <c r="D53" s="949"/>
      <c r="K53" s="631"/>
      <c r="M53" s="650"/>
      <c r="N53" s="2141"/>
      <c r="O53" s="2142"/>
      <c r="P53" s="1301"/>
      <c r="Q53" s="2141"/>
      <c r="R53" s="2143"/>
      <c r="S53" s="1292"/>
      <c r="T53" s="2141"/>
      <c r="U53" s="2143"/>
      <c r="W53" s="2162"/>
      <c r="X53" s="2162"/>
    </row>
    <row r="54" spans="2:24" s="159" customFormat="1" ht="20.25">
      <c r="B54" s="949"/>
      <c r="C54" s="949"/>
      <c r="D54" s="949"/>
      <c r="K54" s="631"/>
      <c r="M54" s="650"/>
      <c r="N54" s="2141"/>
      <c r="O54" s="2142"/>
      <c r="P54" s="1301"/>
      <c r="Q54" s="2141"/>
      <c r="R54" s="2143"/>
      <c r="S54" s="1292"/>
      <c r="T54" s="2141"/>
      <c r="U54" s="2143"/>
      <c r="W54" s="2162"/>
      <c r="X54" s="2162"/>
    </row>
    <row r="55" spans="2:24" s="159" customFormat="1" ht="20.25">
      <c r="B55" s="949"/>
      <c r="C55" s="949"/>
      <c r="D55" s="949"/>
      <c r="K55" s="631"/>
      <c r="M55" s="650"/>
      <c r="N55" s="2141"/>
      <c r="O55" s="2142"/>
      <c r="P55" s="1301"/>
      <c r="Q55" s="2141"/>
      <c r="R55" s="2142"/>
      <c r="S55" s="1301"/>
      <c r="T55" s="2141"/>
      <c r="U55" s="2143"/>
      <c r="W55" s="2162"/>
      <c r="X55" s="2162"/>
    </row>
    <row r="56" spans="2:24" s="159" customFormat="1" ht="20.25">
      <c r="B56" s="949"/>
      <c r="C56" s="949"/>
      <c r="D56" s="949"/>
      <c r="K56" s="631"/>
      <c r="M56" s="657"/>
      <c r="N56" s="2137"/>
      <c r="O56" s="2138"/>
      <c r="P56" s="2139"/>
      <c r="Q56" s="2137"/>
      <c r="R56" s="2138"/>
      <c r="S56" s="2139"/>
      <c r="T56" s="2137"/>
      <c r="U56" s="2140"/>
      <c r="W56" s="2162"/>
      <c r="X56" s="2162"/>
    </row>
    <row r="57" spans="2:24" s="159" customFormat="1" ht="20.25">
      <c r="B57" s="949"/>
      <c r="C57" s="949"/>
      <c r="D57" s="949"/>
      <c r="K57" s="631"/>
      <c r="M57" s="650"/>
      <c r="N57" s="2141"/>
      <c r="O57" s="2142"/>
      <c r="P57" s="1301"/>
      <c r="Q57" s="2141"/>
      <c r="R57" s="2143"/>
      <c r="S57" s="1292"/>
      <c r="T57" s="2141"/>
      <c r="U57" s="2143"/>
      <c r="W57" s="2162"/>
      <c r="X57" s="2162"/>
    </row>
    <row r="58" spans="2:24" s="159" customFormat="1" ht="20.25">
      <c r="B58" s="949"/>
      <c r="C58" s="949"/>
      <c r="D58" s="949"/>
      <c r="K58" s="631"/>
      <c r="M58" s="650"/>
      <c r="N58" s="2141"/>
      <c r="O58" s="2142"/>
      <c r="P58" s="1301"/>
      <c r="Q58" s="2141"/>
      <c r="R58" s="2143"/>
      <c r="S58" s="1292"/>
      <c r="T58" s="2141"/>
      <c r="U58" s="2143"/>
      <c r="W58" s="2162"/>
      <c r="X58" s="2162"/>
    </row>
    <row r="59" spans="2:24" s="159" customFormat="1" ht="20.25">
      <c r="B59" s="949"/>
      <c r="C59" s="949"/>
      <c r="D59" s="949"/>
      <c r="K59" s="631"/>
      <c r="M59" s="650"/>
      <c r="N59" s="2141"/>
      <c r="O59" s="2142"/>
      <c r="P59" s="1301"/>
      <c r="Q59" s="2141"/>
      <c r="R59" s="2143"/>
      <c r="S59" s="1292"/>
      <c r="T59" s="2141"/>
      <c r="U59" s="2143"/>
      <c r="W59" s="2162"/>
      <c r="X59" s="2162"/>
    </row>
    <row r="60" spans="2:24" s="159" customFormat="1" ht="21" thickBot="1">
      <c r="B60" s="949"/>
      <c r="C60" s="949"/>
      <c r="D60" s="949"/>
      <c r="K60" s="631"/>
      <c r="M60" s="650"/>
      <c r="N60" s="2419"/>
      <c r="O60" s="2142"/>
      <c r="P60" s="1306"/>
      <c r="Q60" s="2419"/>
      <c r="R60" s="2143"/>
      <c r="S60" s="2147"/>
      <c r="T60" s="2419"/>
      <c r="U60" s="2143"/>
      <c r="W60" s="2162"/>
      <c r="X60" s="2162"/>
    </row>
    <row r="61" spans="2:24" s="159" customFormat="1" ht="20.25">
      <c r="B61" s="949"/>
      <c r="C61" s="949"/>
      <c r="D61" s="949"/>
      <c r="K61" s="631"/>
      <c r="W61" s="2162"/>
      <c r="X61" s="2162"/>
    </row>
    <row r="62" spans="2:24" s="159" customFormat="1" ht="20.25">
      <c r="B62" s="949"/>
      <c r="C62" s="949"/>
      <c r="D62" s="949"/>
      <c r="K62" s="631"/>
      <c r="W62" s="2162"/>
      <c r="X62" s="2162"/>
    </row>
  </sheetData>
  <sheetProtection/>
  <mergeCells count="2">
    <mergeCell ref="G5:I6"/>
    <mergeCell ref="B5:F6"/>
  </mergeCells>
  <printOptions/>
  <pageMargins left="0.5118110236220472" right="0.7086614173228347" top="0.6299212598425197" bottom="0.7480314960629921" header="0.31496062992125984" footer="0.31496062992125984"/>
  <pageSetup horizontalDpi="300" verticalDpi="3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78"/>
  <sheetViews>
    <sheetView zoomScale="50" zoomScaleNormal="50" zoomScalePageLayoutView="0" workbookViewId="0" topLeftCell="A49">
      <selection activeCell="I60" sqref="I60"/>
    </sheetView>
  </sheetViews>
  <sheetFormatPr defaultColWidth="26.421875" defaultRowHeight="12.75"/>
  <cols>
    <col min="1" max="1" width="22.421875" style="221" customWidth="1"/>
    <col min="2" max="2" width="17.57421875" style="221" customWidth="1"/>
    <col min="3" max="3" width="20.421875" style="221" customWidth="1"/>
    <col min="4" max="4" width="15.57421875" style="221" customWidth="1"/>
    <col min="5" max="5" width="17.00390625" style="221" customWidth="1"/>
    <col min="6" max="6" width="23.00390625" style="221" customWidth="1"/>
    <col min="7" max="7" width="22.140625" style="221" customWidth="1"/>
    <col min="8" max="8" width="14.8515625" style="221" customWidth="1"/>
    <col min="9" max="9" width="14.28125" style="221" customWidth="1"/>
    <col min="10" max="10" width="17.140625" style="221" customWidth="1"/>
    <col min="11" max="12" width="16.8515625" style="221" customWidth="1"/>
    <col min="13" max="13" width="20.7109375" style="221" customWidth="1"/>
    <col min="14" max="14" width="26.7109375" style="222" customWidth="1"/>
    <col min="15" max="18" width="26.421875" style="221" customWidth="1"/>
    <col min="19" max="19" width="13.28125" style="221" customWidth="1"/>
    <col min="20" max="21" width="26.421875" style="221" customWidth="1"/>
    <col min="22" max="22" width="8.140625" style="221" customWidth="1"/>
    <col min="23" max="28" width="26.421875" style="221" customWidth="1"/>
    <col min="29" max="29" width="20.7109375" style="221" customWidth="1"/>
    <col min="30" max="16384" width="26.421875" style="221" customWidth="1"/>
  </cols>
  <sheetData>
    <row r="1" spans="1:38" ht="33.75" customHeight="1">
      <c r="A1" s="220" t="s">
        <v>1275</v>
      </c>
      <c r="AB1" s="221" t="s">
        <v>1227</v>
      </c>
      <c r="AL1" s="221" t="s">
        <v>562</v>
      </c>
    </row>
    <row r="2" spans="17:41" ht="33.75" customHeight="1" thickBot="1">
      <c r="Q2" s="231"/>
      <c r="R2" s="232">
        <f>R5/Q5</f>
        <v>1.9772574265757805</v>
      </c>
      <c r="S2" s="232"/>
      <c r="U2" s="231">
        <f>U5/T5</f>
        <v>0.052622529792927066</v>
      </c>
      <c r="V2" s="231"/>
      <c r="X2" s="231">
        <f>X5/W5</f>
        <v>0.05301359794193311</v>
      </c>
      <c r="Y2" s="231"/>
      <c r="AA2" s="231"/>
      <c r="AB2" s="232">
        <f>AB5/AA5</f>
        <v>0.3530884456787007</v>
      </c>
      <c r="AC2" s="232"/>
      <c r="AE2" s="231">
        <f>AE5/AD5</f>
        <v>1.0073340568886406</v>
      </c>
      <c r="AF2" s="231"/>
      <c r="AH2" s="231">
        <f>AH5/AG5</f>
        <v>0.8210400588019111</v>
      </c>
      <c r="AK2" s="231"/>
      <c r="AL2" s="232">
        <f>AL5/AK5</f>
        <v>1.7631700748969115</v>
      </c>
      <c r="AM2" s="232"/>
      <c r="AO2" s="231">
        <f>AO5/AN5</f>
        <v>0.0860072005254887</v>
      </c>
    </row>
    <row r="3" spans="1:40" ht="33.75" customHeight="1" thickBot="1">
      <c r="A3" s="223"/>
      <c r="B3" s="265" t="s">
        <v>1628</v>
      </c>
      <c r="C3" s="266"/>
      <c r="D3" s="266"/>
      <c r="E3" s="267"/>
      <c r="F3" s="265" t="s">
        <v>1630</v>
      </c>
      <c r="G3" s="268"/>
      <c r="H3" s="268"/>
      <c r="I3" s="269"/>
      <c r="J3" s="265" t="s">
        <v>1575</v>
      </c>
      <c r="K3" s="268"/>
      <c r="L3" s="268"/>
      <c r="M3" s="223" t="s">
        <v>874</v>
      </c>
      <c r="N3" s="259"/>
      <c r="Q3" s="221" t="s">
        <v>1226</v>
      </c>
      <c r="T3" s="221" t="s">
        <v>1224</v>
      </c>
      <c r="W3" s="221" t="s">
        <v>1225</v>
      </c>
      <c r="AA3" s="221" t="s">
        <v>1067</v>
      </c>
      <c r="AD3" s="221" t="s">
        <v>1068</v>
      </c>
      <c r="AG3" s="221" t="s">
        <v>1069</v>
      </c>
      <c r="AK3" s="221" t="s">
        <v>563</v>
      </c>
      <c r="AN3" s="221" t="s">
        <v>564</v>
      </c>
    </row>
    <row r="4" spans="1:46" ht="33.75" customHeight="1" thickBot="1">
      <c r="A4" s="228" t="s">
        <v>566</v>
      </c>
      <c r="B4" s="270" t="s">
        <v>1629</v>
      </c>
      <c r="C4" s="255"/>
      <c r="D4" s="255"/>
      <c r="E4" s="271"/>
      <c r="F4" s="272" t="s">
        <v>1631</v>
      </c>
      <c r="G4" s="273"/>
      <c r="H4" s="273"/>
      <c r="I4" s="274"/>
      <c r="J4" s="272" t="s">
        <v>636</v>
      </c>
      <c r="K4" s="273"/>
      <c r="L4" s="273"/>
      <c r="M4" s="228" t="s">
        <v>875</v>
      </c>
      <c r="N4" s="229" t="s">
        <v>570</v>
      </c>
      <c r="Q4" s="2125" t="s">
        <v>140</v>
      </c>
      <c r="R4" s="234">
        <v>2009</v>
      </c>
      <c r="S4" s="235"/>
      <c r="T4" s="2125" t="s">
        <v>140</v>
      </c>
      <c r="U4" s="234">
        <v>2009</v>
      </c>
      <c r="V4" s="235"/>
      <c r="W4" s="2125" t="s">
        <v>140</v>
      </c>
      <c r="X4" s="234">
        <v>2009</v>
      </c>
      <c r="Y4" s="251"/>
      <c r="Z4" s="220"/>
      <c r="AA4" s="2125" t="s">
        <v>140</v>
      </c>
      <c r="AB4" s="234">
        <v>2009</v>
      </c>
      <c r="AC4" s="235"/>
      <c r="AD4" s="2125" t="s">
        <v>140</v>
      </c>
      <c r="AE4" s="234">
        <v>2009</v>
      </c>
      <c r="AF4" s="235"/>
      <c r="AG4" s="2125" t="s">
        <v>140</v>
      </c>
      <c r="AH4" s="234">
        <v>2009</v>
      </c>
      <c r="AI4" s="220"/>
      <c r="AJ4" s="220"/>
      <c r="AK4" s="2125" t="s">
        <v>140</v>
      </c>
      <c r="AL4" s="234">
        <v>2009</v>
      </c>
      <c r="AM4" s="235"/>
      <c r="AN4" s="2125" t="s">
        <v>140</v>
      </c>
      <c r="AO4" s="234">
        <v>2009</v>
      </c>
      <c r="AP4" s="220"/>
      <c r="AQ4" s="220"/>
      <c r="AR4" s="220"/>
      <c r="AS4" s="220"/>
      <c r="AT4" s="220"/>
    </row>
    <row r="5" spans="1:46" ht="33.75" customHeight="1" thickBot="1">
      <c r="A5" s="228" t="s">
        <v>571</v>
      </c>
      <c r="B5" s="275" t="s">
        <v>876</v>
      </c>
      <c r="C5" s="275" t="s">
        <v>637</v>
      </c>
      <c r="D5" s="275" t="s">
        <v>837</v>
      </c>
      <c r="E5" s="275" t="s">
        <v>472</v>
      </c>
      <c r="F5" s="275" t="s">
        <v>835</v>
      </c>
      <c r="G5" s="275" t="s">
        <v>836</v>
      </c>
      <c r="H5" s="275" t="s">
        <v>837</v>
      </c>
      <c r="I5" s="275" t="s">
        <v>877</v>
      </c>
      <c r="J5" s="275" t="s">
        <v>878</v>
      </c>
      <c r="K5" s="275" t="s">
        <v>879</v>
      </c>
      <c r="L5" s="275" t="s">
        <v>472</v>
      </c>
      <c r="M5" s="230" t="s">
        <v>880</v>
      </c>
      <c r="N5" s="229" t="s">
        <v>575</v>
      </c>
      <c r="P5" s="1949" t="s">
        <v>578</v>
      </c>
      <c r="Q5" s="2130">
        <v>47532</v>
      </c>
      <c r="R5" s="237">
        <v>93983</v>
      </c>
      <c r="S5" s="238"/>
      <c r="T5" s="2133">
        <v>186118</v>
      </c>
      <c r="U5" s="237">
        <v>9794</v>
      </c>
      <c r="V5" s="238"/>
      <c r="W5" s="2133">
        <v>54420</v>
      </c>
      <c r="X5" s="239">
        <v>2885</v>
      </c>
      <c r="Y5" s="1957"/>
      <c r="Z5" s="1949" t="s">
        <v>578</v>
      </c>
      <c r="AA5" s="2130">
        <v>47532</v>
      </c>
      <c r="AB5" s="237">
        <v>16783</v>
      </c>
      <c r="AC5" s="238"/>
      <c r="AD5" s="2133">
        <v>186118</v>
      </c>
      <c r="AE5" s="237">
        <v>187483</v>
      </c>
      <c r="AF5" s="238"/>
      <c r="AG5" s="2133">
        <v>54420</v>
      </c>
      <c r="AH5" s="239">
        <v>44681</v>
      </c>
      <c r="AI5" s="220"/>
      <c r="AJ5" s="220"/>
      <c r="AK5" s="2130">
        <v>47532</v>
      </c>
      <c r="AL5" s="237">
        <v>83807</v>
      </c>
      <c r="AM5" s="238"/>
      <c r="AN5" s="2133">
        <v>240538</v>
      </c>
      <c r="AO5" s="237">
        <v>20688</v>
      </c>
      <c r="AP5" s="220"/>
      <c r="AQ5" s="220"/>
      <c r="AR5" s="220"/>
      <c r="AS5" s="220"/>
      <c r="AT5" s="220"/>
    </row>
    <row r="6" spans="1:41" ht="33.75" customHeight="1" thickBot="1">
      <c r="A6" s="228"/>
      <c r="B6" s="230" t="s">
        <v>881</v>
      </c>
      <c r="C6" s="230" t="s">
        <v>641</v>
      </c>
      <c r="D6" s="230" t="s">
        <v>882</v>
      </c>
      <c r="E6" s="230" t="s">
        <v>480</v>
      </c>
      <c r="F6" s="230" t="s">
        <v>843</v>
      </c>
      <c r="G6" s="230" t="s">
        <v>844</v>
      </c>
      <c r="H6" s="230" t="s">
        <v>845</v>
      </c>
      <c r="I6" s="230" t="s">
        <v>480</v>
      </c>
      <c r="J6" s="230" t="s">
        <v>843</v>
      </c>
      <c r="K6" s="230" t="s">
        <v>883</v>
      </c>
      <c r="L6" s="230" t="s">
        <v>480</v>
      </c>
      <c r="M6" s="230" t="s">
        <v>577</v>
      </c>
      <c r="N6" s="229"/>
      <c r="P6" s="1950" t="s">
        <v>580</v>
      </c>
      <c r="Q6" s="2137">
        <v>23378</v>
      </c>
      <c r="R6" s="243">
        <f>SUM(R7:R11)</f>
        <v>46224.32</v>
      </c>
      <c r="S6" s="244"/>
      <c r="T6" s="2137">
        <v>58717</v>
      </c>
      <c r="U6" s="243">
        <f>SUM(U7:U11)</f>
        <v>3089.83</v>
      </c>
      <c r="V6" s="244"/>
      <c r="W6" s="2137">
        <v>19046</v>
      </c>
      <c r="X6" s="263">
        <f>SUM(X7:X11)</f>
        <v>1010</v>
      </c>
      <c r="Y6" s="1958"/>
      <c r="Z6" s="1950" t="s">
        <v>580</v>
      </c>
      <c r="AA6" s="2137">
        <v>23378</v>
      </c>
      <c r="AB6" s="243">
        <f>SUM(AB7:AB11)</f>
        <v>8254.5</v>
      </c>
      <c r="AC6" s="244"/>
      <c r="AD6" s="2137">
        <v>58717</v>
      </c>
      <c r="AE6" s="243">
        <f>SUM(AE7:AE11)</f>
        <v>59147.65</v>
      </c>
      <c r="AF6" s="244"/>
      <c r="AG6" s="2137">
        <v>19046</v>
      </c>
      <c r="AH6" s="263">
        <f>SUM(AH7:AH11)</f>
        <v>15637</v>
      </c>
      <c r="AJ6" s="236" t="s">
        <v>581</v>
      </c>
      <c r="AK6" s="2137">
        <v>23378</v>
      </c>
      <c r="AL6" s="243">
        <f>SUM(AL7:AL11)</f>
        <v>41219.380000000005</v>
      </c>
      <c r="AM6" s="244"/>
      <c r="AN6" s="2137">
        <v>77763</v>
      </c>
      <c r="AO6" s="243">
        <f>SUM(AO7:AO11)</f>
        <v>6688.17</v>
      </c>
    </row>
    <row r="7" spans="1:46" s="220" customFormat="1" ht="33.75" customHeight="1" thickBot="1">
      <c r="A7" s="567" t="s">
        <v>578</v>
      </c>
      <c r="B7" s="224">
        <f>SUM(B8+B13+B20+B26+B30)</f>
        <v>93983</v>
      </c>
      <c r="C7" s="276">
        <f>SUM(C8+C13+C20+C26+C30)</f>
        <v>9794</v>
      </c>
      <c r="D7" s="276">
        <f>SUM(D8+D13+D20+D26+D30)</f>
        <v>2885</v>
      </c>
      <c r="E7" s="277">
        <f>SUM(B7:D7)</f>
        <v>106662</v>
      </c>
      <c r="F7" s="276">
        <f>SUM(F8+F13+F20+F26+F30)</f>
        <v>16783</v>
      </c>
      <c r="G7" s="276">
        <f>SUM(G8+G13+G20+G26+G30)</f>
        <v>187483</v>
      </c>
      <c r="H7" s="276">
        <f>SUM(H8+H13+H20+H26+H30)</f>
        <v>44681</v>
      </c>
      <c r="I7" s="276">
        <f aca="true" t="shared" si="0" ref="I7:I12">SUM(F7:H7)</f>
        <v>248947</v>
      </c>
      <c r="J7" s="224">
        <f>SUM(J8+J13+J20+J26+J30)</f>
        <v>83807</v>
      </c>
      <c r="K7" s="276">
        <f>SUM(K8+K13+K20+K26+K30)</f>
        <v>20688</v>
      </c>
      <c r="L7" s="277">
        <f>SUM(J7:K7)</f>
        <v>104495</v>
      </c>
      <c r="M7" s="277">
        <f>SUM(M8+M13+M20+M26+M30)</f>
        <v>251</v>
      </c>
      <c r="N7" s="262" t="s">
        <v>579</v>
      </c>
      <c r="P7" s="1951" t="s">
        <v>582</v>
      </c>
      <c r="Q7" s="2141">
        <v>3225</v>
      </c>
      <c r="R7" s="246">
        <f>ROUND((Q7*$R$2),2)</f>
        <v>6376.66</v>
      </c>
      <c r="S7" s="247"/>
      <c r="T7" s="2141">
        <v>7680</v>
      </c>
      <c r="U7" s="248">
        <f>ROUND((T7*$U$2),2)</f>
        <v>404.14</v>
      </c>
      <c r="V7" s="249"/>
      <c r="W7" s="2141">
        <v>3622</v>
      </c>
      <c r="X7" s="248">
        <f>ROUND((W7*$X$2),0)</f>
        <v>192</v>
      </c>
      <c r="Y7" s="1959"/>
      <c r="Z7" s="1951" t="s">
        <v>582</v>
      </c>
      <c r="AA7" s="2141">
        <v>3225</v>
      </c>
      <c r="AB7" s="246">
        <f>ROUND((AA7*$AB$2),2)</f>
        <v>1138.71</v>
      </c>
      <c r="AC7" s="247"/>
      <c r="AD7" s="2141">
        <v>7680</v>
      </c>
      <c r="AE7" s="248">
        <f>ROUND((AD7*$AE$2),2)</f>
        <v>7736.33</v>
      </c>
      <c r="AF7" s="249"/>
      <c r="AG7" s="2141">
        <v>3622</v>
      </c>
      <c r="AH7" s="248">
        <f>ROUND((AG7*$AH$2),0)</f>
        <v>2974</v>
      </c>
      <c r="AI7" s="221"/>
      <c r="AJ7" s="242" t="s">
        <v>583</v>
      </c>
      <c r="AK7" s="2141">
        <v>3225</v>
      </c>
      <c r="AL7" s="246">
        <f>ROUND((AK7*$AL$2),2)</f>
        <v>5686.22</v>
      </c>
      <c r="AM7" s="247"/>
      <c r="AN7" s="2141">
        <v>11302</v>
      </c>
      <c r="AO7" s="248">
        <f>ROUND((AN7*$AO$2),2)</f>
        <v>972.05</v>
      </c>
      <c r="AP7" s="221"/>
      <c r="AQ7" s="221"/>
      <c r="AR7" s="221"/>
      <c r="AS7" s="221"/>
      <c r="AT7" s="221"/>
    </row>
    <row r="8" spans="1:46" s="220" customFormat="1" ht="29.25" customHeight="1">
      <c r="A8" s="558" t="s">
        <v>580</v>
      </c>
      <c r="B8" s="278">
        <f>SUM(B9:B11)</f>
        <v>38554</v>
      </c>
      <c r="C8" s="268">
        <f>SUM(C9:C11)</f>
        <v>1745</v>
      </c>
      <c r="D8" s="268">
        <f>SUM(D9:D11)</f>
        <v>604</v>
      </c>
      <c r="E8" s="279">
        <f>SUM(B8:D8)</f>
        <v>40903</v>
      </c>
      <c r="F8" s="268">
        <f>SUM(F9:F11)</f>
        <v>6885</v>
      </c>
      <c r="G8" s="268">
        <f>SUM(G9:G11)</f>
        <v>33418</v>
      </c>
      <c r="H8" s="268">
        <f>SUM(H9:H11)</f>
        <v>9347</v>
      </c>
      <c r="I8" s="268">
        <f t="shared" si="0"/>
        <v>49650</v>
      </c>
      <c r="J8" s="278">
        <f>SUM(J9:J11)</f>
        <v>34380</v>
      </c>
      <c r="K8" s="268">
        <f>SUM(K9:K11)</f>
        <v>3833</v>
      </c>
      <c r="L8" s="279">
        <f>SUM(J8:K8)</f>
        <v>38213</v>
      </c>
      <c r="M8" s="279">
        <f>SUM(M9:M11)</f>
        <v>45</v>
      </c>
      <c r="N8" s="236" t="s">
        <v>581</v>
      </c>
      <c r="P8" s="1951" t="s">
        <v>584</v>
      </c>
      <c r="Q8" s="2141">
        <v>6544</v>
      </c>
      <c r="R8" s="246">
        <f>ROUND((Q8*$R$2),2)</f>
        <v>12939.17</v>
      </c>
      <c r="S8" s="247"/>
      <c r="T8" s="2141">
        <v>11727</v>
      </c>
      <c r="U8" s="248">
        <f>ROUND((T8*$U$2),2)</f>
        <v>617.1</v>
      </c>
      <c r="V8" s="249"/>
      <c r="W8" s="2141">
        <v>4502</v>
      </c>
      <c r="X8" s="248">
        <f>ROUND((W8*$X$2),0)</f>
        <v>239</v>
      </c>
      <c r="Y8" s="1959"/>
      <c r="Z8" s="1951" t="s">
        <v>584</v>
      </c>
      <c r="AA8" s="2141">
        <v>6544</v>
      </c>
      <c r="AB8" s="246">
        <f>ROUND((AA8*$AB$2),2)</f>
        <v>2310.61</v>
      </c>
      <c r="AC8" s="247"/>
      <c r="AD8" s="2141">
        <v>11727</v>
      </c>
      <c r="AE8" s="248">
        <f>ROUND((AD8*$AE$2),2)</f>
        <v>11813.01</v>
      </c>
      <c r="AF8" s="249"/>
      <c r="AG8" s="2141">
        <v>4502</v>
      </c>
      <c r="AH8" s="248">
        <f>ROUND((AG8*$AH$2),0)</f>
        <v>3696</v>
      </c>
      <c r="AI8" s="221"/>
      <c r="AJ8" s="242" t="s">
        <v>584</v>
      </c>
      <c r="AK8" s="2141">
        <v>6544</v>
      </c>
      <c r="AL8" s="246">
        <f>ROUND((AK8*$AL$2),2)</f>
        <v>11538.18</v>
      </c>
      <c r="AM8" s="247"/>
      <c r="AN8" s="2141">
        <v>16229</v>
      </c>
      <c r="AO8" s="248">
        <f>ROUND((AN8*$AO$2),2)</f>
        <v>1395.81</v>
      </c>
      <c r="AP8" s="221"/>
      <c r="AQ8" s="221"/>
      <c r="AR8" s="221"/>
      <c r="AS8" s="221"/>
      <c r="AT8" s="221"/>
    </row>
    <row r="9" spans="1:41" ht="29.25" customHeight="1">
      <c r="A9" s="559" t="s">
        <v>582</v>
      </c>
      <c r="B9" s="240">
        <v>6377</v>
      </c>
      <c r="C9" s="111">
        <v>404</v>
      </c>
      <c r="D9" s="111">
        <v>192</v>
      </c>
      <c r="E9" s="252">
        <f>SUM(B9:D9)</f>
        <v>6973</v>
      </c>
      <c r="F9" s="111">
        <v>1139</v>
      </c>
      <c r="G9" s="111">
        <v>7736</v>
      </c>
      <c r="H9" s="111">
        <v>2974</v>
      </c>
      <c r="I9" s="251">
        <f t="shared" si="0"/>
        <v>11849</v>
      </c>
      <c r="J9" s="240">
        <v>5686</v>
      </c>
      <c r="K9" s="111">
        <v>972</v>
      </c>
      <c r="L9" s="252">
        <f>SUM(J9:K9)</f>
        <v>6658</v>
      </c>
      <c r="M9" s="241">
        <v>10</v>
      </c>
      <c r="N9" s="242" t="s">
        <v>583</v>
      </c>
      <c r="O9" s="714"/>
      <c r="P9" s="1951" t="s">
        <v>585</v>
      </c>
      <c r="Q9" s="2141">
        <v>9730</v>
      </c>
      <c r="R9" s="246">
        <f>ROUND((Q9*$R$2),2)</f>
        <v>19238.71</v>
      </c>
      <c r="S9" s="247"/>
      <c r="T9" s="2141">
        <v>13768</v>
      </c>
      <c r="U9" s="248">
        <f>ROUND((T9*$U$2),2)</f>
        <v>724.51</v>
      </c>
      <c r="V9" s="249"/>
      <c r="W9" s="2141">
        <v>3261</v>
      </c>
      <c r="X9" s="248">
        <f>ROUND((W9*$X$2),0)</f>
        <v>173</v>
      </c>
      <c r="Y9" s="1959"/>
      <c r="Z9" s="1951" t="s">
        <v>585</v>
      </c>
      <c r="AA9" s="2141">
        <v>9730</v>
      </c>
      <c r="AB9" s="246">
        <f>ROUND((AA9*$AB$2),2)</f>
        <v>3435.55</v>
      </c>
      <c r="AC9" s="247"/>
      <c r="AD9" s="2141">
        <v>13768</v>
      </c>
      <c r="AE9" s="248">
        <f>ROUND((AD9*$AE$2),2)</f>
        <v>13868.98</v>
      </c>
      <c r="AF9" s="249"/>
      <c r="AG9" s="2141">
        <v>3261</v>
      </c>
      <c r="AH9" s="248">
        <f>ROUND((AG9*$AH$2),0)</f>
        <v>2677</v>
      </c>
      <c r="AJ9" s="242" t="s">
        <v>585</v>
      </c>
      <c r="AK9" s="2141">
        <v>9730</v>
      </c>
      <c r="AL9" s="246">
        <f>ROUND((AK9*$AL$2),2)</f>
        <v>17155.64</v>
      </c>
      <c r="AM9" s="247"/>
      <c r="AN9" s="2141">
        <v>17029</v>
      </c>
      <c r="AO9" s="248">
        <f>ROUND((AN9*$AO$2),2)</f>
        <v>1464.62</v>
      </c>
    </row>
    <row r="10" spans="1:41" ht="29.25" customHeight="1">
      <c r="A10" s="559" t="s">
        <v>584</v>
      </c>
      <c r="B10" s="240">
        <v>12938</v>
      </c>
      <c r="C10" s="111">
        <v>616</v>
      </c>
      <c r="D10" s="111">
        <v>239</v>
      </c>
      <c r="E10" s="252">
        <f>SUM(B10:D10)</f>
        <v>13793</v>
      </c>
      <c r="F10" s="111">
        <v>2310</v>
      </c>
      <c r="G10" s="111">
        <v>11813</v>
      </c>
      <c r="H10" s="111">
        <v>3696</v>
      </c>
      <c r="I10" s="251">
        <f t="shared" si="0"/>
        <v>17819</v>
      </c>
      <c r="J10" s="240">
        <v>11538</v>
      </c>
      <c r="K10" s="111">
        <v>1396</v>
      </c>
      <c r="L10" s="252">
        <f>SUM(J10:K10)</f>
        <v>12934</v>
      </c>
      <c r="M10" s="241">
        <v>16</v>
      </c>
      <c r="N10" s="242" t="s">
        <v>584</v>
      </c>
      <c r="O10" s="716"/>
      <c r="P10" s="1951" t="s">
        <v>586</v>
      </c>
      <c r="Q10" s="2141">
        <v>3005</v>
      </c>
      <c r="R10" s="246">
        <f>ROUND((Q10*$R$2),2)</f>
        <v>5941.66</v>
      </c>
      <c r="S10" s="247"/>
      <c r="T10" s="2141">
        <v>18681</v>
      </c>
      <c r="U10" s="248">
        <f>ROUND((T10*$U$2),2)</f>
        <v>983.04</v>
      </c>
      <c r="V10" s="249"/>
      <c r="W10" s="2141">
        <v>5692</v>
      </c>
      <c r="X10" s="248">
        <f>ROUND((W10*$X$2),0)</f>
        <v>302</v>
      </c>
      <c r="Y10" s="1959"/>
      <c r="Z10" s="1951" t="s">
        <v>586</v>
      </c>
      <c r="AA10" s="2141">
        <v>3005</v>
      </c>
      <c r="AB10" s="246">
        <f>ROUND((AA10*$AB$2),2)</f>
        <v>1061.03</v>
      </c>
      <c r="AC10" s="247"/>
      <c r="AD10" s="2141">
        <v>18681</v>
      </c>
      <c r="AE10" s="248">
        <f>ROUND((AD10*$AE$2),2)</f>
        <v>18818.01</v>
      </c>
      <c r="AF10" s="249"/>
      <c r="AG10" s="2141">
        <v>5692</v>
      </c>
      <c r="AH10" s="248">
        <f>ROUND((AG10*$AH$2),0)</f>
        <v>4673</v>
      </c>
      <c r="AJ10" s="242" t="s">
        <v>586</v>
      </c>
      <c r="AK10" s="2141">
        <v>3005</v>
      </c>
      <c r="AL10" s="246">
        <f>ROUND((AK10*$AL$2),2)</f>
        <v>5298.33</v>
      </c>
      <c r="AM10" s="247"/>
      <c r="AN10" s="2141">
        <v>24373</v>
      </c>
      <c r="AO10" s="248">
        <f>ROUND((AN10*$AO$2),2)</f>
        <v>2096.25</v>
      </c>
    </row>
    <row r="11" spans="1:41" ht="29.25" customHeight="1">
      <c r="A11" s="559" t="s">
        <v>585</v>
      </c>
      <c r="B11" s="240">
        <v>19239</v>
      </c>
      <c r="C11" s="111">
        <v>725</v>
      </c>
      <c r="D11" s="111">
        <v>173</v>
      </c>
      <c r="E11" s="252">
        <f>SUM(B11:D11)</f>
        <v>20137</v>
      </c>
      <c r="F11" s="111">
        <v>3436</v>
      </c>
      <c r="G11" s="111">
        <v>13869</v>
      </c>
      <c r="H11" s="111">
        <v>2677</v>
      </c>
      <c r="I11" s="251">
        <f t="shared" si="0"/>
        <v>19982</v>
      </c>
      <c r="J11" s="240">
        <v>17156</v>
      </c>
      <c r="K11" s="111">
        <v>1465</v>
      </c>
      <c r="L11" s="252">
        <f>SUM(J11:K11)</f>
        <v>18621</v>
      </c>
      <c r="M11" s="241">
        <v>19</v>
      </c>
      <c r="N11" s="242" t="s">
        <v>585</v>
      </c>
      <c r="O11" s="716"/>
      <c r="P11" s="1951" t="s">
        <v>587</v>
      </c>
      <c r="Q11" s="2141">
        <v>874</v>
      </c>
      <c r="R11" s="246">
        <f>ROUND((Q11*$R$2),2)</f>
        <v>1728.12</v>
      </c>
      <c r="S11" s="247"/>
      <c r="T11" s="2141">
        <v>6861</v>
      </c>
      <c r="U11" s="248">
        <f>ROUND((T11*$U$2),2)</f>
        <v>361.04</v>
      </c>
      <c r="V11" s="249"/>
      <c r="W11" s="2141">
        <v>1969</v>
      </c>
      <c r="X11" s="248">
        <f>ROUND((W11*$X$2),0)</f>
        <v>104</v>
      </c>
      <c r="Y11" s="1959"/>
      <c r="Z11" s="1951" t="s">
        <v>587</v>
      </c>
      <c r="AA11" s="2141">
        <v>874</v>
      </c>
      <c r="AB11" s="246">
        <f>ROUND((AA11*$AB$2),2)</f>
        <v>308.6</v>
      </c>
      <c r="AC11" s="247"/>
      <c r="AD11" s="2141">
        <v>6861</v>
      </c>
      <c r="AE11" s="248">
        <f>ROUND((AD11*$AE$2),2)</f>
        <v>6911.32</v>
      </c>
      <c r="AF11" s="249"/>
      <c r="AG11" s="2141">
        <v>1969</v>
      </c>
      <c r="AH11" s="248">
        <f>ROUND((AG11*$AH$2),0)</f>
        <v>1617</v>
      </c>
      <c r="AJ11" s="242" t="s">
        <v>587</v>
      </c>
      <c r="AK11" s="2141">
        <v>874</v>
      </c>
      <c r="AL11" s="246">
        <f>ROUND((AK11*$AL$2),2)</f>
        <v>1541.01</v>
      </c>
      <c r="AM11" s="247"/>
      <c r="AN11" s="2141">
        <v>8830</v>
      </c>
      <c r="AO11" s="248">
        <f>ROUND((AN11*$AO$2),2)</f>
        <v>759.44</v>
      </c>
    </row>
    <row r="12" spans="1:46" ht="29.25" customHeight="1">
      <c r="A12" s="559"/>
      <c r="B12" s="240"/>
      <c r="C12" s="111"/>
      <c r="D12" s="111"/>
      <c r="E12" s="252"/>
      <c r="F12" s="111"/>
      <c r="G12" s="111"/>
      <c r="H12" s="111"/>
      <c r="I12" s="251">
        <f t="shared" si="0"/>
        <v>0</v>
      </c>
      <c r="J12" s="240"/>
      <c r="K12" s="111"/>
      <c r="L12" s="241"/>
      <c r="M12" s="241"/>
      <c r="N12" s="242"/>
      <c r="O12" s="716"/>
      <c r="P12" s="1951"/>
      <c r="Q12" s="2141"/>
      <c r="R12" s="246"/>
      <c r="S12" s="247"/>
      <c r="T12" s="2141"/>
      <c r="U12" s="246"/>
      <c r="V12" s="247"/>
      <c r="W12" s="2141"/>
      <c r="X12" s="248"/>
      <c r="Y12" s="1959"/>
      <c r="Z12" s="1951"/>
      <c r="AA12" s="2141"/>
      <c r="AB12" s="246"/>
      <c r="AC12" s="247"/>
      <c r="AD12" s="2141"/>
      <c r="AE12" s="246"/>
      <c r="AF12" s="247"/>
      <c r="AG12" s="2141"/>
      <c r="AH12" s="248"/>
      <c r="AI12" s="220"/>
      <c r="AJ12" s="242"/>
      <c r="AK12" s="2141"/>
      <c r="AL12" s="246"/>
      <c r="AM12" s="247"/>
      <c r="AN12" s="2141">
        <v>0</v>
      </c>
      <c r="AO12" s="246"/>
      <c r="AP12" s="220"/>
      <c r="AQ12" s="220"/>
      <c r="AR12" s="220"/>
      <c r="AS12" s="220"/>
      <c r="AT12" s="220"/>
    </row>
    <row r="13" spans="1:41" ht="29.25" customHeight="1">
      <c r="A13" s="560" t="s">
        <v>588</v>
      </c>
      <c r="B13" s="250">
        <f>SUM(B14:B18)</f>
        <v>29678</v>
      </c>
      <c r="C13" s="251">
        <f>SUM(C14:C18)</f>
        <v>2967</v>
      </c>
      <c r="D13" s="251">
        <f>SUM(D14:D18)</f>
        <v>679</v>
      </c>
      <c r="E13" s="252">
        <f aca="true" t="shared" si="1" ref="E13:E18">SUM(B13:D13)</f>
        <v>33324</v>
      </c>
      <c r="F13" s="251">
        <f>SUM(F14:F18)</f>
        <v>5300</v>
      </c>
      <c r="G13" s="251">
        <f>SUM(G14:G18)</f>
        <v>56819</v>
      </c>
      <c r="H13" s="251">
        <f>SUM(H14:H18)</f>
        <v>10528</v>
      </c>
      <c r="I13" s="251">
        <f aca="true" t="shared" si="2" ref="I13:I18">SUM(F13:H13)</f>
        <v>72647</v>
      </c>
      <c r="J13" s="250">
        <f>SUM(J14:J18)</f>
        <v>26466</v>
      </c>
      <c r="K13" s="251">
        <f>SUM(K14:K18)</f>
        <v>5955</v>
      </c>
      <c r="L13" s="252">
        <f aca="true" t="shared" si="3" ref="L13:L18">SUM(J13:K13)</f>
        <v>32421</v>
      </c>
      <c r="M13" s="252">
        <f>SUM(M14:M18)</f>
        <v>76</v>
      </c>
      <c r="N13" s="253" t="s">
        <v>589</v>
      </c>
      <c r="O13" s="716"/>
      <c r="P13" s="1952" t="s">
        <v>588</v>
      </c>
      <c r="Q13" s="2137">
        <v>19480</v>
      </c>
      <c r="R13" s="243">
        <f>SUM(R14:R21)</f>
        <v>38516.979999999996</v>
      </c>
      <c r="S13" s="244"/>
      <c r="T13" s="2137">
        <v>95822</v>
      </c>
      <c r="U13" s="243">
        <f>SUM(U14:U21)</f>
        <v>5042.41</v>
      </c>
      <c r="V13" s="244"/>
      <c r="W13" s="2137">
        <v>18503</v>
      </c>
      <c r="X13" s="245">
        <f>SUM(X14:X21)</f>
        <v>980</v>
      </c>
      <c r="Y13" s="1960"/>
      <c r="Z13" s="1952" t="s">
        <v>588</v>
      </c>
      <c r="AA13" s="2137">
        <v>19480</v>
      </c>
      <c r="AB13" s="243">
        <f>SUM(AB14:AB21)</f>
        <v>6879</v>
      </c>
      <c r="AC13" s="244"/>
      <c r="AD13" s="2137">
        <v>95822</v>
      </c>
      <c r="AE13" s="243">
        <f>SUM(AE14:AE21)</f>
        <v>96524.76</v>
      </c>
      <c r="AF13" s="244"/>
      <c r="AG13" s="2137">
        <v>18503</v>
      </c>
      <c r="AH13" s="263">
        <f>SUM(AH14:AH21)</f>
        <v>15192</v>
      </c>
      <c r="AJ13" s="253" t="s">
        <v>589</v>
      </c>
      <c r="AK13" s="2137">
        <v>19480</v>
      </c>
      <c r="AL13" s="243">
        <f>SUM(AL14:AL21)</f>
        <v>34346.57000000001</v>
      </c>
      <c r="AM13" s="244"/>
      <c r="AN13" s="2137">
        <v>114325</v>
      </c>
      <c r="AO13" s="243">
        <f>SUM(AO14:AO21)</f>
        <v>9832.76</v>
      </c>
    </row>
    <row r="14" spans="1:41" ht="29.25" customHeight="1">
      <c r="A14" s="559" t="s">
        <v>590</v>
      </c>
      <c r="B14" s="240">
        <v>3329</v>
      </c>
      <c r="C14" s="111">
        <v>685</v>
      </c>
      <c r="D14" s="111">
        <v>154</v>
      </c>
      <c r="E14" s="252">
        <f t="shared" si="1"/>
        <v>4168</v>
      </c>
      <c r="F14" s="111">
        <v>595</v>
      </c>
      <c r="G14" s="111">
        <v>13118</v>
      </c>
      <c r="H14" s="111">
        <v>2393</v>
      </c>
      <c r="I14" s="251">
        <f t="shared" si="2"/>
        <v>16106</v>
      </c>
      <c r="J14" s="240">
        <v>2969</v>
      </c>
      <c r="K14" s="111">
        <v>1371</v>
      </c>
      <c r="L14" s="252">
        <f t="shared" si="3"/>
        <v>4340</v>
      </c>
      <c r="M14" s="241">
        <v>18</v>
      </c>
      <c r="N14" s="242" t="s">
        <v>591</v>
      </c>
      <c r="O14" s="716"/>
      <c r="P14" s="1951" t="s">
        <v>590</v>
      </c>
      <c r="Q14" s="2141">
        <v>1684</v>
      </c>
      <c r="R14" s="246">
        <f aca="true" t="shared" si="4" ref="R14:R21">ROUND((Q14*$R$2),2)</f>
        <v>3329.7</v>
      </c>
      <c r="S14" s="247"/>
      <c r="T14" s="2141">
        <v>13022</v>
      </c>
      <c r="U14" s="248">
        <f aca="true" t="shared" si="5" ref="U14:U21">ROUND((T14*$U$2),2)</f>
        <v>685.25</v>
      </c>
      <c r="V14" s="249"/>
      <c r="W14" s="2141">
        <v>2914</v>
      </c>
      <c r="X14" s="248">
        <f aca="true" t="shared" si="6" ref="X14:X21">ROUND((W14*$X$2),0)</f>
        <v>154</v>
      </c>
      <c r="Y14" s="1959"/>
      <c r="Z14" s="1951" t="s">
        <v>590</v>
      </c>
      <c r="AA14" s="2141">
        <v>1684</v>
      </c>
      <c r="AB14" s="246">
        <f>ROUND((AA14*$AB$2),0)</f>
        <v>595</v>
      </c>
      <c r="AC14" s="247"/>
      <c r="AD14" s="2141">
        <v>13022</v>
      </c>
      <c r="AE14" s="248">
        <f aca="true" t="shared" si="7" ref="AE14:AE21">ROUND((AD14*$AE$2),2)</f>
        <v>13117.5</v>
      </c>
      <c r="AF14" s="249"/>
      <c r="AG14" s="2141">
        <v>2914</v>
      </c>
      <c r="AH14" s="248">
        <f aca="true" t="shared" si="8" ref="AH14:AH21">ROUND((AG14*$AH$2),0)</f>
        <v>2393</v>
      </c>
      <c r="AJ14" s="242" t="s">
        <v>591</v>
      </c>
      <c r="AK14" s="2141">
        <v>1684</v>
      </c>
      <c r="AL14" s="246">
        <f aca="true" t="shared" si="9" ref="AL14:AL21">ROUND((AK14*$AL$2),2)</f>
        <v>2969.18</v>
      </c>
      <c r="AM14" s="247"/>
      <c r="AN14" s="2141">
        <v>15936</v>
      </c>
      <c r="AO14" s="248">
        <f aca="true" t="shared" si="10" ref="AO14:AO21">ROUND((AN14*$AO$2),2)</f>
        <v>1370.61</v>
      </c>
    </row>
    <row r="15" spans="1:46" s="220" customFormat="1" ht="29.25" customHeight="1">
      <c r="A15" s="559" t="s">
        <v>592</v>
      </c>
      <c r="B15" s="240">
        <v>2207</v>
      </c>
      <c r="C15" s="111">
        <v>485</v>
      </c>
      <c r="D15" s="111">
        <v>48</v>
      </c>
      <c r="E15" s="252">
        <f t="shared" si="1"/>
        <v>2740</v>
      </c>
      <c r="F15" s="111">
        <v>394</v>
      </c>
      <c r="G15" s="111">
        <v>9280</v>
      </c>
      <c r="H15" s="111">
        <v>746</v>
      </c>
      <c r="I15" s="251">
        <f t="shared" si="2"/>
        <v>10420</v>
      </c>
      <c r="J15" s="240">
        <v>1969</v>
      </c>
      <c r="K15" s="111">
        <v>870</v>
      </c>
      <c r="L15" s="252">
        <f t="shared" si="3"/>
        <v>2839</v>
      </c>
      <c r="M15" s="241">
        <v>12</v>
      </c>
      <c r="N15" s="242" t="s">
        <v>593</v>
      </c>
      <c r="O15" s="716"/>
      <c r="P15" s="1951" t="s">
        <v>592</v>
      </c>
      <c r="Q15" s="2141">
        <v>1116</v>
      </c>
      <c r="R15" s="246">
        <f t="shared" si="4"/>
        <v>2206.62</v>
      </c>
      <c r="S15" s="247"/>
      <c r="T15" s="2141">
        <v>9212</v>
      </c>
      <c r="U15" s="248">
        <f t="shared" si="5"/>
        <v>484.76</v>
      </c>
      <c r="V15" s="249"/>
      <c r="W15" s="2141">
        <v>908</v>
      </c>
      <c r="X15" s="248">
        <f t="shared" si="6"/>
        <v>48</v>
      </c>
      <c r="Y15" s="1959"/>
      <c r="Z15" s="1951" t="s">
        <v>592</v>
      </c>
      <c r="AA15" s="2141">
        <v>1116</v>
      </c>
      <c r="AB15" s="246">
        <f aca="true" t="shared" si="11" ref="AB15:AB21">ROUND((AA15*$AB$2),0)</f>
        <v>394</v>
      </c>
      <c r="AC15" s="247"/>
      <c r="AD15" s="2141">
        <v>9212</v>
      </c>
      <c r="AE15" s="248">
        <f t="shared" si="7"/>
        <v>9279.56</v>
      </c>
      <c r="AF15" s="249"/>
      <c r="AG15" s="2141">
        <v>908</v>
      </c>
      <c r="AH15" s="248">
        <f t="shared" si="8"/>
        <v>746</v>
      </c>
      <c r="AI15" s="221"/>
      <c r="AJ15" s="242" t="s">
        <v>593</v>
      </c>
      <c r="AK15" s="2141">
        <v>1116</v>
      </c>
      <c r="AL15" s="246">
        <f t="shared" si="9"/>
        <v>1967.7</v>
      </c>
      <c r="AM15" s="247"/>
      <c r="AN15" s="2141">
        <v>10120</v>
      </c>
      <c r="AO15" s="248">
        <f t="shared" si="10"/>
        <v>870.39</v>
      </c>
      <c r="AP15" s="221"/>
      <c r="AQ15" s="221"/>
      <c r="AR15" s="221"/>
      <c r="AS15" s="221"/>
      <c r="AT15" s="221"/>
    </row>
    <row r="16" spans="1:41" ht="29.25" customHeight="1">
      <c r="A16" s="559" t="s">
        <v>594</v>
      </c>
      <c r="B16" s="240">
        <v>16654</v>
      </c>
      <c r="C16" s="111">
        <v>1108</v>
      </c>
      <c r="D16" s="111">
        <v>210</v>
      </c>
      <c r="E16" s="252">
        <f t="shared" si="1"/>
        <v>17972</v>
      </c>
      <c r="F16" s="111">
        <v>2973</v>
      </c>
      <c r="G16" s="111">
        <v>21212</v>
      </c>
      <c r="H16" s="111">
        <v>3255</v>
      </c>
      <c r="I16" s="251">
        <f t="shared" si="2"/>
        <v>27440</v>
      </c>
      <c r="J16" s="240">
        <v>14851</v>
      </c>
      <c r="K16" s="111">
        <v>2152</v>
      </c>
      <c r="L16" s="252">
        <f t="shared" si="3"/>
        <v>17003</v>
      </c>
      <c r="M16" s="241">
        <v>28</v>
      </c>
      <c r="N16" s="242" t="s">
        <v>594</v>
      </c>
      <c r="O16" s="717"/>
      <c r="P16" s="1951" t="s">
        <v>594</v>
      </c>
      <c r="Q16" s="2141">
        <v>8423</v>
      </c>
      <c r="R16" s="246">
        <f t="shared" si="4"/>
        <v>16654.44</v>
      </c>
      <c r="S16" s="247"/>
      <c r="T16" s="2141">
        <v>21058</v>
      </c>
      <c r="U16" s="248">
        <f t="shared" si="5"/>
        <v>1108.13</v>
      </c>
      <c r="V16" s="249"/>
      <c r="W16" s="2141">
        <v>3964</v>
      </c>
      <c r="X16" s="248">
        <f t="shared" si="6"/>
        <v>210</v>
      </c>
      <c r="Y16" s="1959"/>
      <c r="Z16" s="1951" t="s">
        <v>594</v>
      </c>
      <c r="AA16" s="2141">
        <v>8423</v>
      </c>
      <c r="AB16" s="246">
        <f t="shared" si="11"/>
        <v>2974</v>
      </c>
      <c r="AC16" s="247"/>
      <c r="AD16" s="2141">
        <v>21058</v>
      </c>
      <c r="AE16" s="248">
        <f t="shared" si="7"/>
        <v>21212.44</v>
      </c>
      <c r="AF16" s="249"/>
      <c r="AG16" s="2141">
        <v>3964</v>
      </c>
      <c r="AH16" s="248">
        <f t="shared" si="8"/>
        <v>3255</v>
      </c>
      <c r="AJ16" s="242" t="s">
        <v>594</v>
      </c>
      <c r="AK16" s="2141">
        <v>8423</v>
      </c>
      <c r="AL16" s="246">
        <f t="shared" si="9"/>
        <v>14851.18</v>
      </c>
      <c r="AM16" s="247"/>
      <c r="AN16" s="2141">
        <v>25022</v>
      </c>
      <c r="AO16" s="248">
        <f t="shared" si="10"/>
        <v>2152.07</v>
      </c>
    </row>
    <row r="17" spans="1:41" ht="29.25" customHeight="1">
      <c r="A17" s="559" t="s">
        <v>599</v>
      </c>
      <c r="B17" s="240">
        <v>4091</v>
      </c>
      <c r="C17" s="111">
        <v>424</v>
      </c>
      <c r="D17" s="111">
        <v>154</v>
      </c>
      <c r="E17" s="252">
        <f t="shared" si="1"/>
        <v>4669</v>
      </c>
      <c r="F17" s="111">
        <v>731</v>
      </c>
      <c r="G17" s="111">
        <v>8138</v>
      </c>
      <c r="H17" s="111">
        <v>2379</v>
      </c>
      <c r="I17" s="251">
        <f t="shared" si="2"/>
        <v>11248</v>
      </c>
      <c r="J17" s="240">
        <v>3648</v>
      </c>
      <c r="K17" s="111">
        <v>945</v>
      </c>
      <c r="L17" s="252">
        <f t="shared" si="3"/>
        <v>4593</v>
      </c>
      <c r="M17" s="241">
        <v>11</v>
      </c>
      <c r="N17" s="242" t="s">
        <v>599</v>
      </c>
      <c r="O17" s="716"/>
      <c r="P17" s="1951" t="s">
        <v>595</v>
      </c>
      <c r="Q17" s="2141">
        <v>1649</v>
      </c>
      <c r="R17" s="246">
        <f t="shared" si="4"/>
        <v>3260.5</v>
      </c>
      <c r="S17" s="247"/>
      <c r="T17" s="2141">
        <v>21411</v>
      </c>
      <c r="U17" s="248">
        <f t="shared" si="5"/>
        <v>1126.7</v>
      </c>
      <c r="V17" s="249"/>
      <c r="W17" s="2141">
        <v>2859</v>
      </c>
      <c r="X17" s="248">
        <f t="shared" si="6"/>
        <v>152</v>
      </c>
      <c r="Y17" s="1959"/>
      <c r="Z17" s="1951" t="s">
        <v>595</v>
      </c>
      <c r="AA17" s="2141">
        <v>1649</v>
      </c>
      <c r="AB17" s="246">
        <f t="shared" si="11"/>
        <v>582</v>
      </c>
      <c r="AC17" s="247"/>
      <c r="AD17" s="2141">
        <v>21411</v>
      </c>
      <c r="AE17" s="248">
        <f t="shared" si="7"/>
        <v>21568.03</v>
      </c>
      <c r="AF17" s="249"/>
      <c r="AG17" s="2141">
        <v>2859</v>
      </c>
      <c r="AH17" s="248">
        <f t="shared" si="8"/>
        <v>2347</v>
      </c>
      <c r="AJ17" s="242" t="s">
        <v>595</v>
      </c>
      <c r="AK17" s="2141">
        <v>1649</v>
      </c>
      <c r="AL17" s="246">
        <f t="shared" si="9"/>
        <v>2907.47</v>
      </c>
      <c r="AM17" s="247"/>
      <c r="AN17" s="2141">
        <v>24270</v>
      </c>
      <c r="AO17" s="248">
        <f t="shared" si="10"/>
        <v>2087.39</v>
      </c>
    </row>
    <row r="18" spans="1:41" ht="29.25" customHeight="1">
      <c r="A18" s="559" t="s">
        <v>598</v>
      </c>
      <c r="B18" s="240">
        <v>3397</v>
      </c>
      <c r="C18" s="111">
        <v>265</v>
      </c>
      <c r="D18" s="111">
        <v>113</v>
      </c>
      <c r="E18" s="252">
        <f t="shared" si="1"/>
        <v>3775</v>
      </c>
      <c r="F18" s="111">
        <v>607</v>
      </c>
      <c r="G18" s="111">
        <v>5071</v>
      </c>
      <c r="H18" s="111">
        <v>1755</v>
      </c>
      <c r="I18" s="251">
        <f t="shared" si="2"/>
        <v>7433</v>
      </c>
      <c r="J18" s="240">
        <v>3029</v>
      </c>
      <c r="K18" s="111">
        <v>617</v>
      </c>
      <c r="L18" s="252">
        <f t="shared" si="3"/>
        <v>3646</v>
      </c>
      <c r="M18" s="241">
        <v>7</v>
      </c>
      <c r="N18" s="242" t="s">
        <v>598</v>
      </c>
      <c r="O18" s="716"/>
      <c r="P18" s="1951" t="s">
        <v>596</v>
      </c>
      <c r="Q18" s="2141">
        <v>791</v>
      </c>
      <c r="R18" s="246">
        <f t="shared" si="4"/>
        <v>1564.01</v>
      </c>
      <c r="S18" s="247"/>
      <c r="T18" s="2141">
        <v>9882</v>
      </c>
      <c r="U18" s="248">
        <f t="shared" si="5"/>
        <v>520.02</v>
      </c>
      <c r="V18" s="249"/>
      <c r="W18" s="2141">
        <v>851</v>
      </c>
      <c r="X18" s="248">
        <f t="shared" si="6"/>
        <v>45</v>
      </c>
      <c r="Y18" s="1959"/>
      <c r="Z18" s="1951" t="s">
        <v>596</v>
      </c>
      <c r="AA18" s="2141">
        <v>791</v>
      </c>
      <c r="AB18" s="246">
        <f t="shared" si="11"/>
        <v>279</v>
      </c>
      <c r="AC18" s="247"/>
      <c r="AD18" s="2141">
        <v>9882</v>
      </c>
      <c r="AE18" s="248">
        <f t="shared" si="7"/>
        <v>9954.48</v>
      </c>
      <c r="AF18" s="249"/>
      <c r="AG18" s="2141">
        <v>851</v>
      </c>
      <c r="AH18" s="248">
        <f t="shared" si="8"/>
        <v>699</v>
      </c>
      <c r="AJ18" s="242" t="s">
        <v>596</v>
      </c>
      <c r="AK18" s="2141">
        <v>791</v>
      </c>
      <c r="AL18" s="246">
        <f t="shared" si="9"/>
        <v>1394.67</v>
      </c>
      <c r="AM18" s="247"/>
      <c r="AN18" s="2141">
        <v>10733</v>
      </c>
      <c r="AO18" s="248">
        <f t="shared" si="10"/>
        <v>923.12</v>
      </c>
    </row>
    <row r="19" spans="1:41" ht="29.25" customHeight="1">
      <c r="A19" s="561"/>
      <c r="B19" s="240"/>
      <c r="C19" s="111"/>
      <c r="D19" s="111"/>
      <c r="E19" s="252"/>
      <c r="F19" s="111"/>
      <c r="G19" s="111"/>
      <c r="H19" s="111"/>
      <c r="I19" s="251"/>
      <c r="J19" s="240"/>
      <c r="K19" s="111"/>
      <c r="L19" s="241"/>
      <c r="M19" s="241"/>
      <c r="N19" s="242"/>
      <c r="O19" s="716"/>
      <c r="P19" s="1951" t="s">
        <v>597</v>
      </c>
      <c r="Q19" s="2141">
        <v>2030</v>
      </c>
      <c r="R19" s="246">
        <f t="shared" si="4"/>
        <v>4013.83</v>
      </c>
      <c r="S19" s="247"/>
      <c r="T19" s="2141">
        <v>8124</v>
      </c>
      <c r="U19" s="248">
        <f t="shared" si="5"/>
        <v>427.51</v>
      </c>
      <c r="V19" s="249"/>
      <c r="W19" s="2141">
        <v>1971</v>
      </c>
      <c r="X19" s="248">
        <f t="shared" si="6"/>
        <v>104</v>
      </c>
      <c r="Y19" s="1959"/>
      <c r="Z19" s="1951" t="s">
        <v>597</v>
      </c>
      <c r="AA19" s="2141">
        <v>2030</v>
      </c>
      <c r="AB19" s="246">
        <f t="shared" si="11"/>
        <v>717</v>
      </c>
      <c r="AC19" s="247"/>
      <c r="AD19" s="2141">
        <v>8124</v>
      </c>
      <c r="AE19" s="248">
        <f t="shared" si="7"/>
        <v>8183.58</v>
      </c>
      <c r="AF19" s="249"/>
      <c r="AG19" s="2141">
        <v>1971</v>
      </c>
      <c r="AH19" s="248">
        <f t="shared" si="8"/>
        <v>1618</v>
      </c>
      <c r="AJ19" s="242" t="s">
        <v>597</v>
      </c>
      <c r="AK19" s="2141">
        <v>2030</v>
      </c>
      <c r="AL19" s="246">
        <f t="shared" si="9"/>
        <v>3579.24</v>
      </c>
      <c r="AM19" s="247"/>
      <c r="AN19" s="2141">
        <v>10095</v>
      </c>
      <c r="AO19" s="248">
        <f t="shared" si="10"/>
        <v>868.24</v>
      </c>
    </row>
    <row r="20" spans="1:41" ht="29.25" customHeight="1">
      <c r="A20" s="560" t="s">
        <v>601</v>
      </c>
      <c r="B20" s="250">
        <f>SUM(B21:B24)</f>
        <v>9242</v>
      </c>
      <c r="C20" s="251">
        <f>SUM(C21:C24)</f>
        <v>1663</v>
      </c>
      <c r="D20" s="251">
        <f>SUM(D21:D24)</f>
        <v>894</v>
      </c>
      <c r="E20" s="252">
        <f>SUM(B20:D20)</f>
        <v>11799</v>
      </c>
      <c r="F20" s="251">
        <f>SUM(F21:F24)</f>
        <v>1650</v>
      </c>
      <c r="G20" s="251">
        <f>SUM(G21:G24)</f>
        <v>31811</v>
      </c>
      <c r="H20" s="251">
        <f>SUM(H21:H24)</f>
        <v>13852</v>
      </c>
      <c r="I20" s="251">
        <f>SUM(F20:H20)</f>
        <v>47313</v>
      </c>
      <c r="J20" s="250">
        <f>SUM(J21:J24)</f>
        <v>8241</v>
      </c>
      <c r="K20" s="251">
        <f>SUM(K21:K24)</f>
        <v>4167</v>
      </c>
      <c r="L20" s="252">
        <f>SUM(J20:K20)</f>
        <v>12408</v>
      </c>
      <c r="M20" s="252">
        <f>SUM(M21:M24)</f>
        <v>43</v>
      </c>
      <c r="N20" s="253" t="s">
        <v>602</v>
      </c>
      <c r="O20" s="716"/>
      <c r="P20" s="1951" t="s">
        <v>598</v>
      </c>
      <c r="Q20" s="2141">
        <v>1718</v>
      </c>
      <c r="R20" s="246">
        <f t="shared" si="4"/>
        <v>3396.93</v>
      </c>
      <c r="S20" s="247"/>
      <c r="T20" s="2141">
        <v>5034</v>
      </c>
      <c r="U20" s="248">
        <f t="shared" si="5"/>
        <v>264.9</v>
      </c>
      <c r="V20" s="249"/>
      <c r="W20" s="2141">
        <v>2138</v>
      </c>
      <c r="X20" s="248">
        <f t="shared" si="6"/>
        <v>113</v>
      </c>
      <c r="Y20" s="1959"/>
      <c r="Z20" s="1951" t="s">
        <v>598</v>
      </c>
      <c r="AA20" s="2141">
        <v>1718</v>
      </c>
      <c r="AB20" s="246">
        <f t="shared" si="11"/>
        <v>607</v>
      </c>
      <c r="AC20" s="247"/>
      <c r="AD20" s="2141">
        <v>5034</v>
      </c>
      <c r="AE20" s="248">
        <f t="shared" si="7"/>
        <v>5070.92</v>
      </c>
      <c r="AF20" s="249"/>
      <c r="AG20" s="2141">
        <v>2138</v>
      </c>
      <c r="AH20" s="248">
        <f t="shared" si="8"/>
        <v>1755</v>
      </c>
      <c r="AJ20" s="242" t="s">
        <v>598</v>
      </c>
      <c r="AK20" s="2141">
        <v>1718</v>
      </c>
      <c r="AL20" s="246">
        <f t="shared" si="9"/>
        <v>3029.13</v>
      </c>
      <c r="AM20" s="247"/>
      <c r="AN20" s="2141">
        <v>7172</v>
      </c>
      <c r="AO20" s="248">
        <f t="shared" si="10"/>
        <v>616.84</v>
      </c>
    </row>
    <row r="21" spans="1:41" ht="29.25" customHeight="1">
      <c r="A21" s="559" t="s">
        <v>603</v>
      </c>
      <c r="B21" s="240">
        <v>2693</v>
      </c>
      <c r="C21" s="111">
        <v>265</v>
      </c>
      <c r="D21" s="111">
        <v>228</v>
      </c>
      <c r="E21" s="252">
        <f>SUM(B21:D21)</f>
        <v>3186</v>
      </c>
      <c r="F21" s="111">
        <v>481</v>
      </c>
      <c r="G21" s="111">
        <v>5065</v>
      </c>
      <c r="H21" s="111">
        <v>3535</v>
      </c>
      <c r="I21" s="251">
        <f>SUM(F21:H21)</f>
        <v>9081</v>
      </c>
      <c r="J21" s="240">
        <v>2401</v>
      </c>
      <c r="K21" s="111">
        <v>803</v>
      </c>
      <c r="L21" s="252">
        <f>SUM(J21:K21)</f>
        <v>3204</v>
      </c>
      <c r="M21" s="241">
        <v>7</v>
      </c>
      <c r="N21" s="242" t="s">
        <v>604</v>
      </c>
      <c r="O21" s="716"/>
      <c r="P21" s="1951" t="s">
        <v>599</v>
      </c>
      <c r="Q21" s="2141">
        <v>2069</v>
      </c>
      <c r="R21" s="246">
        <f t="shared" si="4"/>
        <v>4090.95</v>
      </c>
      <c r="S21" s="247"/>
      <c r="T21" s="2141">
        <v>8079</v>
      </c>
      <c r="U21" s="248">
        <f t="shared" si="5"/>
        <v>425.14</v>
      </c>
      <c r="V21" s="249"/>
      <c r="W21" s="2141">
        <v>2898</v>
      </c>
      <c r="X21" s="248">
        <f t="shared" si="6"/>
        <v>154</v>
      </c>
      <c r="Y21" s="1959"/>
      <c r="Z21" s="1951" t="s">
        <v>599</v>
      </c>
      <c r="AA21" s="2141">
        <v>2069</v>
      </c>
      <c r="AB21" s="246">
        <f t="shared" si="11"/>
        <v>731</v>
      </c>
      <c r="AC21" s="247"/>
      <c r="AD21" s="2141">
        <v>8079</v>
      </c>
      <c r="AE21" s="248">
        <f t="shared" si="7"/>
        <v>8138.25</v>
      </c>
      <c r="AF21" s="249"/>
      <c r="AG21" s="2141">
        <v>2898</v>
      </c>
      <c r="AH21" s="248">
        <f t="shared" si="8"/>
        <v>2379</v>
      </c>
      <c r="AJ21" s="242" t="s">
        <v>599</v>
      </c>
      <c r="AK21" s="2141">
        <v>2069</v>
      </c>
      <c r="AL21" s="246">
        <f t="shared" si="9"/>
        <v>3648</v>
      </c>
      <c r="AM21" s="247"/>
      <c r="AN21" s="2141">
        <v>10977</v>
      </c>
      <c r="AO21" s="248">
        <f t="shared" si="10"/>
        <v>944.1</v>
      </c>
    </row>
    <row r="22" spans="1:46" ht="29.25" customHeight="1">
      <c r="A22" s="559" t="s">
        <v>605</v>
      </c>
      <c r="B22" s="240">
        <v>115</v>
      </c>
      <c r="C22" s="111">
        <v>133</v>
      </c>
      <c r="D22" s="111">
        <v>67</v>
      </c>
      <c r="E22" s="252">
        <f>SUM(B22:D22)</f>
        <v>315</v>
      </c>
      <c r="F22" s="111">
        <v>20</v>
      </c>
      <c r="G22" s="111">
        <v>2542</v>
      </c>
      <c r="H22" s="111">
        <v>1044</v>
      </c>
      <c r="I22" s="251">
        <f>SUM(F22:H22)</f>
        <v>3606</v>
      </c>
      <c r="J22" s="240">
        <v>103</v>
      </c>
      <c r="K22" s="111">
        <v>326</v>
      </c>
      <c r="L22" s="252">
        <f>SUM(J22:K22)</f>
        <v>429</v>
      </c>
      <c r="M22" s="241">
        <v>3</v>
      </c>
      <c r="N22" s="242" t="s">
        <v>606</v>
      </c>
      <c r="O22" s="716"/>
      <c r="P22" s="1951"/>
      <c r="Q22" s="2141"/>
      <c r="R22" s="246"/>
      <c r="S22" s="247"/>
      <c r="T22" s="2141"/>
      <c r="U22" s="246"/>
      <c r="V22" s="247"/>
      <c r="W22" s="2141"/>
      <c r="X22" s="248"/>
      <c r="Y22" s="1959"/>
      <c r="Z22" s="1951"/>
      <c r="AA22" s="2141"/>
      <c r="AB22" s="246"/>
      <c r="AC22" s="247"/>
      <c r="AD22" s="2141"/>
      <c r="AE22" s="246"/>
      <c r="AF22" s="247"/>
      <c r="AG22" s="2141"/>
      <c r="AH22" s="248"/>
      <c r="AI22" s="220"/>
      <c r="AJ22" s="242"/>
      <c r="AK22" s="2141"/>
      <c r="AL22" s="246"/>
      <c r="AM22" s="247"/>
      <c r="AN22" s="2141">
        <v>0</v>
      </c>
      <c r="AO22" s="246"/>
      <c r="AP22" s="220"/>
      <c r="AQ22" s="220"/>
      <c r="AR22" s="220"/>
      <c r="AS22" s="220"/>
      <c r="AT22" s="220"/>
    </row>
    <row r="23" spans="1:41" ht="29.25" customHeight="1">
      <c r="A23" s="559" t="s">
        <v>607</v>
      </c>
      <c r="B23" s="240">
        <v>3302</v>
      </c>
      <c r="C23" s="111">
        <v>642</v>
      </c>
      <c r="D23" s="111">
        <v>273</v>
      </c>
      <c r="E23" s="252">
        <f>SUM(B23:D23)</f>
        <v>4217</v>
      </c>
      <c r="F23" s="111">
        <v>590</v>
      </c>
      <c r="G23" s="111">
        <v>12280</v>
      </c>
      <c r="H23" s="111">
        <v>4217</v>
      </c>
      <c r="I23" s="251">
        <f>SUM(F23:H23)</f>
        <v>17087</v>
      </c>
      <c r="J23" s="240">
        <v>2944</v>
      </c>
      <c r="K23" s="111">
        <v>1490</v>
      </c>
      <c r="L23" s="252">
        <f>SUM(J23:K23)</f>
        <v>4434</v>
      </c>
      <c r="M23" s="241">
        <v>16</v>
      </c>
      <c r="N23" s="242" t="s">
        <v>607</v>
      </c>
      <c r="O23" s="716"/>
      <c r="P23" s="1952" t="s">
        <v>601</v>
      </c>
      <c r="Q23" s="2137">
        <v>4674</v>
      </c>
      <c r="R23" s="243">
        <f>SUM(R24:R27)</f>
        <v>9241.699999999999</v>
      </c>
      <c r="S23" s="244"/>
      <c r="T23" s="2137">
        <v>31579</v>
      </c>
      <c r="U23" s="243">
        <f>SUM(U24:U27)</f>
        <v>1661.77</v>
      </c>
      <c r="V23" s="244"/>
      <c r="W23" s="2137">
        <v>16871</v>
      </c>
      <c r="X23" s="245">
        <f>SUM(X24:X27)</f>
        <v>893</v>
      </c>
      <c r="Y23" s="1960"/>
      <c r="Z23" s="1952" t="s">
        <v>601</v>
      </c>
      <c r="AA23" s="2137">
        <v>4674</v>
      </c>
      <c r="AB23" s="243">
        <f>SUM(AB24:AB27)</f>
        <v>1650</v>
      </c>
      <c r="AC23" s="244"/>
      <c r="AD23" s="2137">
        <v>31579</v>
      </c>
      <c r="AE23" s="243">
        <f>SUM(AE24:AE27)</f>
        <v>31810.6</v>
      </c>
      <c r="AF23" s="244"/>
      <c r="AG23" s="2137">
        <v>16871</v>
      </c>
      <c r="AH23" s="263">
        <f>SUM(AH24:AH27)</f>
        <v>13852</v>
      </c>
      <c r="AJ23" s="253" t="s">
        <v>602</v>
      </c>
      <c r="AK23" s="2137">
        <v>4674</v>
      </c>
      <c r="AL23" s="243">
        <f>SUM(AL24:AL27)</f>
        <v>8241.050000000001</v>
      </c>
      <c r="AM23" s="244"/>
      <c r="AN23" s="2137">
        <v>48450</v>
      </c>
      <c r="AO23" s="243">
        <f>SUM(AO24:AO27)</f>
        <v>4167.05</v>
      </c>
    </row>
    <row r="24" spans="1:41" ht="29.25" customHeight="1">
      <c r="A24" s="559" t="s">
        <v>608</v>
      </c>
      <c r="B24" s="240">
        <v>3132</v>
      </c>
      <c r="C24" s="111">
        <v>623</v>
      </c>
      <c r="D24" s="111">
        <v>326</v>
      </c>
      <c r="E24" s="252">
        <f>SUM(B24:D24)</f>
        <v>4081</v>
      </c>
      <c r="F24" s="111">
        <v>559</v>
      </c>
      <c r="G24" s="111">
        <v>11924</v>
      </c>
      <c r="H24" s="111">
        <v>5056</v>
      </c>
      <c r="I24" s="251">
        <f>SUM(F24:H24)</f>
        <v>17539</v>
      </c>
      <c r="J24" s="240">
        <v>2793</v>
      </c>
      <c r="K24" s="111">
        <v>1548</v>
      </c>
      <c r="L24" s="252">
        <f>SUM(J24:K24)</f>
        <v>4341</v>
      </c>
      <c r="M24" s="241">
        <v>17</v>
      </c>
      <c r="N24" s="242" t="s">
        <v>608</v>
      </c>
      <c r="O24" s="716"/>
      <c r="P24" s="1951" t="s">
        <v>603</v>
      </c>
      <c r="Q24" s="2141">
        <v>1362</v>
      </c>
      <c r="R24" s="246">
        <f>ROUND((Q24*$R$2),2)</f>
        <v>2693.02</v>
      </c>
      <c r="S24" s="247"/>
      <c r="T24" s="2141">
        <v>5028</v>
      </c>
      <c r="U24" s="248">
        <f>ROUND((T24*$U$2),2)</f>
        <v>264.59</v>
      </c>
      <c r="V24" s="249"/>
      <c r="W24" s="2141">
        <v>4306</v>
      </c>
      <c r="X24" s="248">
        <f>ROUND((W24*$X$2),0)</f>
        <v>228</v>
      </c>
      <c r="Y24" s="1959"/>
      <c r="Z24" s="1951" t="s">
        <v>603</v>
      </c>
      <c r="AA24" s="2141">
        <v>1362</v>
      </c>
      <c r="AB24" s="246">
        <f>ROUND((AA24*$AB$2),0)</f>
        <v>481</v>
      </c>
      <c r="AC24" s="247"/>
      <c r="AD24" s="2141">
        <v>5028</v>
      </c>
      <c r="AE24" s="248">
        <f>ROUND((AD24*$AE$2),2)</f>
        <v>5064.88</v>
      </c>
      <c r="AF24" s="249"/>
      <c r="AG24" s="2141">
        <v>4306</v>
      </c>
      <c r="AH24" s="248">
        <f>ROUND((AG24*$AH$2),0)</f>
        <v>3535</v>
      </c>
      <c r="AJ24" s="242" t="s">
        <v>604</v>
      </c>
      <c r="AK24" s="2141">
        <v>1362</v>
      </c>
      <c r="AL24" s="246">
        <f>ROUND((AK24*$AL$2),2)</f>
        <v>2401.44</v>
      </c>
      <c r="AM24" s="247"/>
      <c r="AN24" s="2141">
        <v>9334</v>
      </c>
      <c r="AO24" s="248">
        <f>ROUND((AN24*$AO$2),2)</f>
        <v>802.79</v>
      </c>
    </row>
    <row r="25" spans="1:46" s="220" customFormat="1" ht="29.25" customHeight="1">
      <c r="A25" s="562"/>
      <c r="B25" s="250"/>
      <c r="C25" s="251"/>
      <c r="D25" s="251"/>
      <c r="E25" s="252"/>
      <c r="F25" s="251"/>
      <c r="G25" s="251"/>
      <c r="H25" s="251"/>
      <c r="I25" s="251"/>
      <c r="J25" s="250"/>
      <c r="K25" s="251"/>
      <c r="L25" s="252"/>
      <c r="M25" s="252"/>
      <c r="N25" s="253"/>
      <c r="O25" s="716"/>
      <c r="P25" s="1951" t="s">
        <v>605</v>
      </c>
      <c r="Q25" s="2141">
        <v>58</v>
      </c>
      <c r="R25" s="246">
        <f>ROUND((Q25*$R$2),2)</f>
        <v>114.68</v>
      </c>
      <c r="S25" s="247"/>
      <c r="T25" s="2141">
        <v>2523</v>
      </c>
      <c r="U25" s="248">
        <f>ROUND((T25*$U$2),2)</f>
        <v>132.77</v>
      </c>
      <c r="V25" s="249"/>
      <c r="W25" s="2141">
        <v>1271</v>
      </c>
      <c r="X25" s="248">
        <f>ROUND((W25*$X$2),0)</f>
        <v>67</v>
      </c>
      <c r="Y25" s="1959"/>
      <c r="Z25" s="1951" t="s">
        <v>605</v>
      </c>
      <c r="AA25" s="2141">
        <v>58</v>
      </c>
      <c r="AB25" s="246">
        <f>ROUND((AA25*$AB$2),0)</f>
        <v>20</v>
      </c>
      <c r="AC25" s="247"/>
      <c r="AD25" s="2141">
        <v>2523</v>
      </c>
      <c r="AE25" s="248">
        <f>ROUND((AD25*$AE$2),2)</f>
        <v>2541.5</v>
      </c>
      <c r="AF25" s="249"/>
      <c r="AG25" s="2141">
        <v>1271</v>
      </c>
      <c r="AH25" s="248">
        <f>ROUND((AG25*$AH$2),0)</f>
        <v>1044</v>
      </c>
      <c r="AI25" s="221"/>
      <c r="AJ25" s="242" t="s">
        <v>606</v>
      </c>
      <c r="AK25" s="2141">
        <v>58</v>
      </c>
      <c r="AL25" s="246">
        <f>ROUND((AK25*$AL$2),2)</f>
        <v>102.26</v>
      </c>
      <c r="AM25" s="247"/>
      <c r="AN25" s="2141">
        <v>3794</v>
      </c>
      <c r="AO25" s="248">
        <f>ROUND((AN25*$AO$2),2)</f>
        <v>326.31</v>
      </c>
      <c r="AP25" s="221"/>
      <c r="AQ25" s="221"/>
      <c r="AR25" s="221"/>
      <c r="AS25" s="221"/>
      <c r="AT25" s="221"/>
    </row>
    <row r="26" spans="1:41" ht="29.25" customHeight="1">
      <c r="A26" s="562" t="s">
        <v>1286</v>
      </c>
      <c r="B26" s="250">
        <f>SUM(B27:B28)</f>
        <v>7670</v>
      </c>
      <c r="C26" s="251">
        <f>SUM(C27:C28)</f>
        <v>1344</v>
      </c>
      <c r="D26" s="251">
        <f>SUM(D27:D28)</f>
        <v>406</v>
      </c>
      <c r="E26" s="252">
        <f>SUM(B26:D26)</f>
        <v>9420</v>
      </c>
      <c r="F26" s="251">
        <f>SUM(F27:F28)</f>
        <v>1370</v>
      </c>
      <c r="G26" s="251">
        <f>SUM(G27:G28)</f>
        <v>25729</v>
      </c>
      <c r="H26" s="251">
        <f>SUM(H27:H28)</f>
        <v>6290</v>
      </c>
      <c r="I26" s="251">
        <f>SUM(F26:H26)</f>
        <v>33389</v>
      </c>
      <c r="J26" s="250">
        <f>SUM(J27:J28)</f>
        <v>6839</v>
      </c>
      <c r="K26" s="251">
        <f>SUM(K27:K28)</f>
        <v>2855</v>
      </c>
      <c r="L26" s="252">
        <f>SUM(J26:K26)</f>
        <v>9694</v>
      </c>
      <c r="M26" s="252">
        <f>SUM(M27:M28)</f>
        <v>34</v>
      </c>
      <c r="N26" s="1393" t="s">
        <v>1286</v>
      </c>
      <c r="O26" s="717"/>
      <c r="P26" s="1951" t="s">
        <v>607</v>
      </c>
      <c r="Q26" s="2141">
        <v>1670</v>
      </c>
      <c r="R26" s="246">
        <f>ROUND((Q26*$R$2),2)</f>
        <v>3302.02</v>
      </c>
      <c r="S26" s="247"/>
      <c r="T26" s="2141">
        <v>12191</v>
      </c>
      <c r="U26" s="248">
        <f>ROUND((T26*$U$2),2)</f>
        <v>641.52</v>
      </c>
      <c r="V26" s="249"/>
      <c r="W26" s="2141">
        <v>5136</v>
      </c>
      <c r="X26" s="248">
        <f>ROUND((W26*$X$2),0)</f>
        <v>272</v>
      </c>
      <c r="Y26" s="1959"/>
      <c r="Z26" s="1951" t="s">
        <v>607</v>
      </c>
      <c r="AA26" s="2141">
        <v>1670</v>
      </c>
      <c r="AB26" s="246">
        <f>ROUND((AA26*$AB$2),0)</f>
        <v>590</v>
      </c>
      <c r="AC26" s="247"/>
      <c r="AD26" s="2141">
        <v>12191</v>
      </c>
      <c r="AE26" s="248">
        <f>ROUND((AD26*$AE$2),2)</f>
        <v>12280.41</v>
      </c>
      <c r="AF26" s="249"/>
      <c r="AG26" s="2141">
        <v>5136</v>
      </c>
      <c r="AH26" s="248">
        <f>ROUND((AG26*$AH$2),0)</f>
        <v>4217</v>
      </c>
      <c r="AJ26" s="242" t="s">
        <v>607</v>
      </c>
      <c r="AK26" s="2141">
        <v>1670</v>
      </c>
      <c r="AL26" s="246">
        <f>ROUND((AK26*$AL$2),2)</f>
        <v>2944.49</v>
      </c>
      <c r="AM26" s="247"/>
      <c r="AN26" s="2141">
        <v>17327</v>
      </c>
      <c r="AO26" s="248">
        <f>ROUND((AN26*$AO$2),2)</f>
        <v>1490.25</v>
      </c>
    </row>
    <row r="27" spans="1:41" ht="29.25" customHeight="1" thickBot="1">
      <c r="A27" s="561" t="s">
        <v>586</v>
      </c>
      <c r="B27" s="240">
        <v>5942</v>
      </c>
      <c r="C27" s="111">
        <v>983</v>
      </c>
      <c r="D27" s="111">
        <v>302</v>
      </c>
      <c r="E27" s="252">
        <f>SUM(B27:D27)</f>
        <v>7227</v>
      </c>
      <c r="F27" s="111">
        <v>1061</v>
      </c>
      <c r="G27" s="111">
        <v>18818</v>
      </c>
      <c r="H27" s="111">
        <v>4673</v>
      </c>
      <c r="I27" s="251">
        <f>SUM(F27:H27)</f>
        <v>24552</v>
      </c>
      <c r="J27" s="240">
        <v>5298</v>
      </c>
      <c r="K27" s="111">
        <v>2096</v>
      </c>
      <c r="L27" s="252">
        <f>SUM(J27:K27)</f>
        <v>7394</v>
      </c>
      <c r="M27" s="241">
        <v>25</v>
      </c>
      <c r="N27" s="1394" t="s">
        <v>586</v>
      </c>
      <c r="O27" s="716"/>
      <c r="P27" s="1951" t="s">
        <v>608</v>
      </c>
      <c r="Q27" s="2419">
        <v>1584</v>
      </c>
      <c r="R27" s="246">
        <f>ROUND((Q27*$R$2),2)</f>
        <v>3131.98</v>
      </c>
      <c r="S27" s="257"/>
      <c r="T27" s="2419">
        <v>11837</v>
      </c>
      <c r="U27" s="248">
        <f>ROUND((T27*$U$2),2)</f>
        <v>622.89</v>
      </c>
      <c r="V27" s="258"/>
      <c r="W27" s="2419">
        <v>6158</v>
      </c>
      <c r="X27" s="248">
        <f>ROUND((W27*$X$2),0)</f>
        <v>326</v>
      </c>
      <c r="Y27" s="1959"/>
      <c r="Z27" s="1951" t="s">
        <v>608</v>
      </c>
      <c r="AA27" s="2419">
        <v>1584</v>
      </c>
      <c r="AB27" s="246">
        <f>ROUND((AA27*$AB$2),0)</f>
        <v>559</v>
      </c>
      <c r="AC27" s="257"/>
      <c r="AD27" s="2419">
        <v>11837</v>
      </c>
      <c r="AE27" s="248">
        <f>ROUND((AD27*$AE$2),2)</f>
        <v>11923.81</v>
      </c>
      <c r="AF27" s="258"/>
      <c r="AG27" s="2419">
        <v>6158</v>
      </c>
      <c r="AH27" s="248">
        <f>ROUND((AG27*$AH$2),0)</f>
        <v>5056</v>
      </c>
      <c r="AJ27" s="256" t="s">
        <v>608</v>
      </c>
      <c r="AK27" s="2419">
        <v>1584</v>
      </c>
      <c r="AL27" s="246">
        <f>ROUND((AK27*$AL$2),2)</f>
        <v>2792.86</v>
      </c>
      <c r="AM27" s="257"/>
      <c r="AN27" s="2419">
        <v>17995</v>
      </c>
      <c r="AO27" s="248">
        <f>ROUND((AN27*$AO$2),2)</f>
        <v>1547.7</v>
      </c>
    </row>
    <row r="28" spans="1:16" ht="29.25" customHeight="1">
      <c r="A28" s="561" t="s">
        <v>587</v>
      </c>
      <c r="B28" s="240">
        <v>1728</v>
      </c>
      <c r="C28" s="111">
        <v>361</v>
      </c>
      <c r="D28" s="111">
        <v>104</v>
      </c>
      <c r="E28" s="252">
        <f>SUM(B28:D28)</f>
        <v>2193</v>
      </c>
      <c r="F28" s="111">
        <v>309</v>
      </c>
      <c r="G28" s="111">
        <v>6911</v>
      </c>
      <c r="H28" s="111">
        <v>1617</v>
      </c>
      <c r="I28" s="251">
        <f>SUM(F28:H28)</f>
        <v>8837</v>
      </c>
      <c r="J28" s="240">
        <v>1541</v>
      </c>
      <c r="K28" s="111">
        <v>759</v>
      </c>
      <c r="L28" s="252">
        <f>SUM(J28:K28)</f>
        <v>2300</v>
      </c>
      <c r="M28" s="241">
        <v>9</v>
      </c>
      <c r="N28" s="1394" t="s">
        <v>587</v>
      </c>
      <c r="O28" s="716"/>
      <c r="P28" s="715"/>
    </row>
    <row r="29" spans="1:28" ht="29.25" customHeight="1">
      <c r="A29" s="561"/>
      <c r="B29" s="240"/>
      <c r="C29" s="111"/>
      <c r="D29" s="111"/>
      <c r="E29" s="252"/>
      <c r="F29" s="111"/>
      <c r="G29" s="111"/>
      <c r="H29" s="111"/>
      <c r="I29" s="251"/>
      <c r="J29" s="240"/>
      <c r="K29" s="111"/>
      <c r="L29" s="241"/>
      <c r="M29" s="241"/>
      <c r="N29" s="242"/>
      <c r="O29" s="716"/>
      <c r="P29" s="715"/>
      <c r="AB29" s="231">
        <f>AB39/AA39</f>
        <v>0.0013486067978379307</v>
      </c>
    </row>
    <row r="30" spans="1:28" ht="29.25" customHeight="1">
      <c r="A30" s="562" t="s">
        <v>1287</v>
      </c>
      <c r="B30" s="250">
        <f>SUM(B31:B33)</f>
        <v>8839</v>
      </c>
      <c r="C30" s="251">
        <f>SUM(C31:C33)</f>
        <v>2075</v>
      </c>
      <c r="D30" s="251">
        <f>SUM(D31:D33)</f>
        <v>302</v>
      </c>
      <c r="E30" s="252">
        <f>SUM(B30:D30)</f>
        <v>11216</v>
      </c>
      <c r="F30" s="251">
        <f>SUM(F31:F33)</f>
        <v>1578</v>
      </c>
      <c r="G30" s="251">
        <f>SUM(G31:G33)</f>
        <v>39706</v>
      </c>
      <c r="H30" s="251">
        <f>SUM(H31:H33)</f>
        <v>4664</v>
      </c>
      <c r="I30" s="251">
        <f>SUM(F30:H30)</f>
        <v>45948</v>
      </c>
      <c r="J30" s="250">
        <f>SUM(J31:J33)</f>
        <v>7881</v>
      </c>
      <c r="K30" s="251">
        <f>SUM(K31:K33)</f>
        <v>3878</v>
      </c>
      <c r="L30" s="252">
        <f>SUM(J30:K30)</f>
        <v>11759</v>
      </c>
      <c r="M30" s="251">
        <f>SUM(M31:M33)</f>
        <v>53</v>
      </c>
      <c r="N30" s="253" t="s">
        <v>1287</v>
      </c>
      <c r="O30" s="715"/>
      <c r="P30" s="715"/>
      <c r="AB30" s="231"/>
    </row>
    <row r="31" spans="1:33" ht="29.25" customHeight="1">
      <c r="A31" s="561" t="s">
        <v>1273</v>
      </c>
      <c r="B31" s="240">
        <v>4014</v>
      </c>
      <c r="C31" s="111">
        <v>428</v>
      </c>
      <c r="D31" s="111">
        <v>105</v>
      </c>
      <c r="E31" s="252">
        <f>SUM(B31:D31)</f>
        <v>4547</v>
      </c>
      <c r="F31" s="111">
        <v>717</v>
      </c>
      <c r="G31" s="111">
        <v>8184</v>
      </c>
      <c r="H31" s="111">
        <v>1618</v>
      </c>
      <c r="I31" s="251">
        <f>SUM(F31:H31)</f>
        <v>10519</v>
      </c>
      <c r="J31" s="240">
        <v>3579</v>
      </c>
      <c r="K31" s="111">
        <v>868</v>
      </c>
      <c r="L31" s="252">
        <f>SUM(J31:K31)</f>
        <v>4447</v>
      </c>
      <c r="M31" s="111">
        <v>11</v>
      </c>
      <c r="N31" s="242" t="s">
        <v>1294</v>
      </c>
      <c r="O31" s="715"/>
      <c r="P31" s="715"/>
      <c r="AB31" s="231"/>
      <c r="AG31" s="221">
        <f>(AD5+AG5)</f>
        <v>240538</v>
      </c>
    </row>
    <row r="32" spans="1:33" ht="29.25" customHeight="1">
      <c r="A32" s="561" t="s">
        <v>596</v>
      </c>
      <c r="B32" s="240">
        <v>1564</v>
      </c>
      <c r="C32" s="111">
        <v>520</v>
      </c>
      <c r="D32" s="111">
        <v>45</v>
      </c>
      <c r="E32" s="252">
        <f>SUM(B32:D32)</f>
        <v>2129</v>
      </c>
      <c r="F32" s="111">
        <v>279</v>
      </c>
      <c r="G32" s="111">
        <v>9954</v>
      </c>
      <c r="H32" s="111">
        <v>699</v>
      </c>
      <c r="I32" s="251">
        <f>SUM(F32:H32)</f>
        <v>10932</v>
      </c>
      <c r="J32" s="240">
        <v>1395</v>
      </c>
      <c r="K32" s="111">
        <v>923</v>
      </c>
      <c r="L32" s="252">
        <f>SUM(J32:K32)</f>
        <v>2318</v>
      </c>
      <c r="M32" s="111">
        <v>13</v>
      </c>
      <c r="N32" s="242" t="s">
        <v>596</v>
      </c>
      <c r="O32" s="715"/>
      <c r="P32" s="715"/>
      <c r="AB32" s="231"/>
      <c r="AG32" s="221">
        <f aca="true" t="shared" si="12" ref="AG32:AG47">(AD6+AG6)</f>
        <v>77763</v>
      </c>
    </row>
    <row r="33" spans="1:33" ht="29.25" customHeight="1" thickBot="1">
      <c r="A33" s="563" t="s">
        <v>595</v>
      </c>
      <c r="B33" s="254">
        <v>3261</v>
      </c>
      <c r="C33" s="255">
        <v>1127</v>
      </c>
      <c r="D33" s="255">
        <v>152</v>
      </c>
      <c r="E33" s="718">
        <f>SUM(B33:D33)</f>
        <v>4540</v>
      </c>
      <c r="F33" s="255">
        <v>582</v>
      </c>
      <c r="G33" s="255">
        <v>21568</v>
      </c>
      <c r="H33" s="255">
        <v>2347</v>
      </c>
      <c r="I33" s="273">
        <f>SUM(F33:H33)</f>
        <v>24497</v>
      </c>
      <c r="J33" s="254">
        <v>2907</v>
      </c>
      <c r="K33" s="255">
        <v>2087</v>
      </c>
      <c r="L33" s="718">
        <f>SUM(J33:K33)</f>
        <v>4994</v>
      </c>
      <c r="M33" s="255">
        <v>29</v>
      </c>
      <c r="N33" s="256" t="s">
        <v>595</v>
      </c>
      <c r="O33" s="715"/>
      <c r="P33" s="715"/>
      <c r="AB33" s="231"/>
      <c r="AG33" s="221">
        <f t="shared" si="12"/>
        <v>11302</v>
      </c>
    </row>
    <row r="34" spans="1:33" ht="33.75" customHeight="1">
      <c r="A34" s="111"/>
      <c r="B34" s="111"/>
      <c r="C34" s="111"/>
      <c r="D34" s="111"/>
      <c r="E34" s="251"/>
      <c r="F34" s="111"/>
      <c r="G34" s="111"/>
      <c r="H34" s="111"/>
      <c r="I34" s="251"/>
      <c r="J34" s="111"/>
      <c r="K34" s="111"/>
      <c r="L34" s="111"/>
      <c r="M34" s="111"/>
      <c r="N34" s="715"/>
      <c r="O34" s="715"/>
      <c r="P34" s="715"/>
      <c r="AB34" s="231"/>
      <c r="AG34" s="221">
        <f t="shared" si="12"/>
        <v>16229</v>
      </c>
    </row>
    <row r="35" spans="1:33" ht="33.75" customHeight="1">
      <c r="A35" s="111"/>
      <c r="B35" s="111"/>
      <c r="C35" s="111"/>
      <c r="D35" s="111"/>
      <c r="E35" s="251"/>
      <c r="F35" s="111"/>
      <c r="G35" s="111"/>
      <c r="H35" s="111"/>
      <c r="I35" s="251"/>
      <c r="J35" s="111"/>
      <c r="K35" s="111"/>
      <c r="L35" s="111"/>
      <c r="M35" s="111"/>
      <c r="N35" s="715"/>
      <c r="O35" s="715"/>
      <c r="P35" s="715"/>
      <c r="AB35" s="231"/>
      <c r="AG35" s="221">
        <f t="shared" si="12"/>
        <v>17029</v>
      </c>
    </row>
    <row r="36" spans="1:33" ht="33.75" customHeight="1">
      <c r="A36" s="111"/>
      <c r="B36" s="111"/>
      <c r="C36" s="111"/>
      <c r="D36" s="111"/>
      <c r="E36" s="251"/>
      <c r="F36" s="111"/>
      <c r="G36" s="111"/>
      <c r="H36" s="111"/>
      <c r="I36" s="251"/>
      <c r="J36" s="111"/>
      <c r="K36" s="111"/>
      <c r="L36" s="111"/>
      <c r="M36" s="111"/>
      <c r="N36" s="715"/>
      <c r="O36" s="715"/>
      <c r="P36" s="715"/>
      <c r="AB36" s="231"/>
      <c r="AD36" s="111"/>
      <c r="AE36" s="111"/>
      <c r="AF36" s="111"/>
      <c r="AG36" s="221">
        <f t="shared" si="12"/>
        <v>24373</v>
      </c>
    </row>
    <row r="37" spans="15:33" ht="33.75" customHeight="1" thickBot="1">
      <c r="O37" s="715"/>
      <c r="P37" s="715"/>
      <c r="AA37" s="221" t="s">
        <v>1228</v>
      </c>
      <c r="AD37" s="111"/>
      <c r="AE37" s="111"/>
      <c r="AF37" s="111"/>
      <c r="AG37" s="221">
        <f t="shared" si="12"/>
        <v>8830</v>
      </c>
    </row>
    <row r="38" spans="1:33" ht="42.75" customHeight="1">
      <c r="A38" s="220" t="s">
        <v>1416</v>
      </c>
      <c r="AA38" s="2125" t="s">
        <v>140</v>
      </c>
      <c r="AB38" s="234">
        <v>2009</v>
      </c>
      <c r="AD38" s="111"/>
      <c r="AE38" s="251"/>
      <c r="AF38" s="251"/>
      <c r="AG38" s="221">
        <f t="shared" si="12"/>
        <v>0</v>
      </c>
    </row>
    <row r="39" spans="14:33" ht="42.75" customHeight="1" thickBot="1">
      <c r="N39" s="221"/>
      <c r="AA39" s="2133">
        <v>186118</v>
      </c>
      <c r="AB39" s="239">
        <v>251</v>
      </c>
      <c r="AD39" s="111"/>
      <c r="AE39" s="2173"/>
      <c r="AF39" s="1957"/>
      <c r="AG39" s="221">
        <f t="shared" si="12"/>
        <v>114325</v>
      </c>
    </row>
    <row r="40" spans="1:33" ht="42.75" customHeight="1" thickBot="1">
      <c r="A40" s="226"/>
      <c r="B40" s="224" t="s">
        <v>642</v>
      </c>
      <c r="C40" s="276"/>
      <c r="D40" s="276"/>
      <c r="E40" s="223" t="s">
        <v>884</v>
      </c>
      <c r="F40" s="223" t="s">
        <v>885</v>
      </c>
      <c r="G40" s="275"/>
      <c r="H40" s="265" t="s">
        <v>643</v>
      </c>
      <c r="I40" s="266"/>
      <c r="J40" s="267"/>
      <c r="N40" s="221"/>
      <c r="Z40" s="236" t="s">
        <v>581</v>
      </c>
      <c r="AA40" s="2137">
        <v>58717</v>
      </c>
      <c r="AB40" s="263">
        <f>SUM(AB41:AB45)</f>
        <v>79</v>
      </c>
      <c r="AD40" s="714"/>
      <c r="AE40" s="2174"/>
      <c r="AF40" s="2175"/>
      <c r="AG40" s="221">
        <f t="shared" si="12"/>
        <v>15936</v>
      </c>
    </row>
    <row r="41" spans="1:46" ht="42.75" customHeight="1" thickBot="1">
      <c r="A41" s="260"/>
      <c r="B41" s="280" t="s">
        <v>884</v>
      </c>
      <c r="C41" s="280" t="s">
        <v>886</v>
      </c>
      <c r="D41" s="280" t="s">
        <v>472</v>
      </c>
      <c r="E41" s="228" t="s">
        <v>887</v>
      </c>
      <c r="F41" s="228" t="s">
        <v>888</v>
      </c>
      <c r="G41" s="233" t="s">
        <v>889</v>
      </c>
      <c r="H41" s="281" t="s">
        <v>644</v>
      </c>
      <c r="I41" s="282"/>
      <c r="J41" s="283"/>
      <c r="N41" s="221"/>
      <c r="W41" s="220"/>
      <c r="X41" s="220"/>
      <c r="Y41" s="220"/>
      <c r="Z41" s="242" t="s">
        <v>583</v>
      </c>
      <c r="AA41" s="2141">
        <v>7680</v>
      </c>
      <c r="AB41" s="248">
        <f>ROUND((AA41*$AB$29),0)</f>
        <v>10</v>
      </c>
      <c r="AC41" s="220"/>
      <c r="AD41" s="715"/>
      <c r="AE41" s="1161"/>
      <c r="AF41" s="111"/>
      <c r="AG41" s="221">
        <f t="shared" si="12"/>
        <v>10120</v>
      </c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</row>
    <row r="42" spans="1:33" ht="48.75" customHeight="1">
      <c r="A42" s="260"/>
      <c r="B42" s="280" t="s">
        <v>890</v>
      </c>
      <c r="C42" s="280" t="s">
        <v>890</v>
      </c>
      <c r="D42" s="284" t="s">
        <v>480</v>
      </c>
      <c r="E42" s="230" t="s">
        <v>891</v>
      </c>
      <c r="F42" s="444" t="s">
        <v>892</v>
      </c>
      <c r="G42" s="230" t="s">
        <v>893</v>
      </c>
      <c r="H42" s="2788" t="s">
        <v>894</v>
      </c>
      <c r="I42" s="2788" t="s">
        <v>895</v>
      </c>
      <c r="J42" s="2788" t="s">
        <v>472</v>
      </c>
      <c r="N42" s="221"/>
      <c r="Z42" s="242" t="s">
        <v>584</v>
      </c>
      <c r="AA42" s="2141">
        <v>11727</v>
      </c>
      <c r="AB42" s="248">
        <f>ROUND((AA42*$AB$29),0)</f>
        <v>16</v>
      </c>
      <c r="AD42" s="715"/>
      <c r="AE42" s="1161"/>
      <c r="AF42" s="111"/>
      <c r="AG42" s="221">
        <f t="shared" si="12"/>
        <v>25022</v>
      </c>
    </row>
    <row r="43" spans="1:33" ht="42.75" customHeight="1" thickBot="1">
      <c r="A43" s="260"/>
      <c r="B43" s="284" t="s">
        <v>846</v>
      </c>
      <c r="C43" s="284" t="s">
        <v>847</v>
      </c>
      <c r="D43" s="284" t="s">
        <v>896</v>
      </c>
      <c r="E43" s="230" t="s">
        <v>897</v>
      </c>
      <c r="F43" s="230" t="s">
        <v>577</v>
      </c>
      <c r="G43" s="230" t="s">
        <v>577</v>
      </c>
      <c r="H43" s="1927" t="s">
        <v>898</v>
      </c>
      <c r="I43" s="1927" t="s">
        <v>899</v>
      </c>
      <c r="J43" s="1927" t="s">
        <v>480</v>
      </c>
      <c r="N43" s="221"/>
      <c r="Z43" s="242" t="s">
        <v>585</v>
      </c>
      <c r="AA43" s="2141">
        <v>13768</v>
      </c>
      <c r="AB43" s="248">
        <f>ROUND((AA43*$AB$29),0)</f>
        <v>19</v>
      </c>
      <c r="AD43" s="715"/>
      <c r="AE43" s="1161"/>
      <c r="AF43" s="111"/>
      <c r="AG43" s="221">
        <f t="shared" si="12"/>
        <v>24270</v>
      </c>
    </row>
    <row r="44" spans="1:46" s="220" customFormat="1" ht="42.75" customHeight="1" thickBot="1">
      <c r="A44" s="224" t="s">
        <v>900</v>
      </c>
      <c r="B44" s="276">
        <v>194700</v>
      </c>
      <c r="C44" s="276">
        <v>8303551</v>
      </c>
      <c r="D44" s="276">
        <f>SUM(B44:C44)</f>
        <v>8498251</v>
      </c>
      <c r="E44" s="286">
        <v>2458544</v>
      </c>
      <c r="F44" s="287" t="s">
        <v>464</v>
      </c>
      <c r="G44" s="261" t="s">
        <v>945</v>
      </c>
      <c r="H44" s="2789">
        <v>175</v>
      </c>
      <c r="I44" s="2789">
        <v>190</v>
      </c>
      <c r="J44" s="2645">
        <f>SUM(H44:I44)</f>
        <v>365</v>
      </c>
      <c r="W44" s="221"/>
      <c r="X44" s="221"/>
      <c r="Y44" s="221"/>
      <c r="Z44" s="242" t="s">
        <v>586</v>
      </c>
      <c r="AA44" s="2141">
        <v>18681</v>
      </c>
      <c r="AB44" s="248">
        <f>ROUND((AA44*$AB$29),0)</f>
        <v>25</v>
      </c>
      <c r="AC44" s="221"/>
      <c r="AD44" s="715"/>
      <c r="AE44" s="1161"/>
      <c r="AF44" s="111"/>
      <c r="AG44" s="221">
        <f>(AD18+AG18)</f>
        <v>10733</v>
      </c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</row>
    <row r="45" spans="1:33" ht="42.75" customHeight="1">
      <c r="A45" s="730"/>
      <c r="N45" s="221"/>
      <c r="Z45" s="242" t="s">
        <v>587</v>
      </c>
      <c r="AA45" s="2141">
        <v>6861</v>
      </c>
      <c r="AB45" s="248">
        <f>ROUND((AA45*$AB$29),0)</f>
        <v>9</v>
      </c>
      <c r="AD45" s="715"/>
      <c r="AE45" s="1161"/>
      <c r="AF45" s="111"/>
      <c r="AG45" s="221">
        <f t="shared" si="12"/>
        <v>10095</v>
      </c>
    </row>
    <row r="46" spans="1:33" ht="42.75" customHeight="1">
      <c r="A46" s="220" t="s">
        <v>901</v>
      </c>
      <c r="N46" s="221"/>
      <c r="Z46" s="242"/>
      <c r="AA46" s="2141"/>
      <c r="AB46" s="248"/>
      <c r="AD46" s="715"/>
      <c r="AE46" s="1161"/>
      <c r="AF46" s="111"/>
      <c r="AG46" s="221">
        <f t="shared" si="12"/>
        <v>7172</v>
      </c>
    </row>
    <row r="47" spans="14:33" ht="42.75" customHeight="1" thickBot="1">
      <c r="N47" s="221"/>
      <c r="Z47" s="253" t="s">
        <v>589</v>
      </c>
      <c r="AA47" s="2137">
        <v>95822</v>
      </c>
      <c r="AB47" s="263">
        <f>SUM(AB48:AB55)</f>
        <v>129</v>
      </c>
      <c r="AD47" s="714"/>
      <c r="AE47" s="2174"/>
      <c r="AF47" s="2175"/>
      <c r="AG47" s="221">
        <f t="shared" si="12"/>
        <v>10977</v>
      </c>
    </row>
    <row r="48" spans="1:33" ht="57.75" customHeight="1">
      <c r="A48" s="725"/>
      <c r="B48" s="726" t="s">
        <v>835</v>
      </c>
      <c r="C48" s="726" t="s">
        <v>1417</v>
      </c>
      <c r="D48" s="726" t="s">
        <v>792</v>
      </c>
      <c r="E48" s="726" t="s">
        <v>902</v>
      </c>
      <c r="F48" s="726" t="s">
        <v>903</v>
      </c>
      <c r="G48" s="726" t="s">
        <v>472</v>
      </c>
      <c r="N48" s="221"/>
      <c r="Z48" s="242" t="s">
        <v>591</v>
      </c>
      <c r="AA48" s="2141">
        <v>13022</v>
      </c>
      <c r="AB48" s="248">
        <f aca="true" t="shared" si="13" ref="AB48:AB55">ROUND((AA48*$AB$29),0)</f>
        <v>18</v>
      </c>
      <c r="AD48" s="715"/>
      <c r="AE48" s="1161"/>
      <c r="AF48" s="111"/>
      <c r="AG48" s="221">
        <f aca="true" t="shared" si="14" ref="AG48:AG54">(AD22+AG22)</f>
        <v>0</v>
      </c>
    </row>
    <row r="49" spans="1:33" ht="42.75" customHeight="1" thickBot="1">
      <c r="A49" s="727"/>
      <c r="B49" s="728" t="s">
        <v>867</v>
      </c>
      <c r="C49" s="728" t="s">
        <v>904</v>
      </c>
      <c r="D49" s="728" t="s">
        <v>905</v>
      </c>
      <c r="E49" s="728" t="s">
        <v>906</v>
      </c>
      <c r="F49" s="728" t="s">
        <v>907</v>
      </c>
      <c r="G49" s="728" t="s">
        <v>480</v>
      </c>
      <c r="N49" s="221"/>
      <c r="Z49" s="242" t="s">
        <v>593</v>
      </c>
      <c r="AA49" s="2141">
        <v>9212</v>
      </c>
      <c r="AB49" s="248">
        <f t="shared" si="13"/>
        <v>12</v>
      </c>
      <c r="AD49" s="715"/>
      <c r="AE49" s="1161"/>
      <c r="AF49" s="111"/>
      <c r="AG49" s="221">
        <f t="shared" si="14"/>
        <v>48450</v>
      </c>
    </row>
    <row r="50" spans="1:46" ht="57.75" customHeight="1" thickBot="1">
      <c r="A50" s="729" t="s">
        <v>900</v>
      </c>
      <c r="B50" s="2644">
        <v>18.99</v>
      </c>
      <c r="C50" s="2644">
        <v>13.02</v>
      </c>
      <c r="D50" s="2644">
        <v>3</v>
      </c>
      <c r="E50" s="2644">
        <v>41.66</v>
      </c>
      <c r="F50" s="2644">
        <v>7.14</v>
      </c>
      <c r="G50" s="2645">
        <f>SUM(B50:F50)</f>
        <v>83.80999999999999</v>
      </c>
      <c r="W50" s="220"/>
      <c r="X50" s="220"/>
      <c r="Y50" s="220"/>
      <c r="Z50" s="242" t="s">
        <v>594</v>
      </c>
      <c r="AA50" s="2141">
        <v>21058</v>
      </c>
      <c r="AB50" s="248">
        <f t="shared" si="13"/>
        <v>28</v>
      </c>
      <c r="AC50" s="220"/>
      <c r="AD50" s="715"/>
      <c r="AE50" s="1161"/>
      <c r="AF50" s="111"/>
      <c r="AG50" s="221">
        <f t="shared" si="14"/>
        <v>9334</v>
      </c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</row>
    <row r="51" spans="1:33" ht="42.75" customHeight="1">
      <c r="A51" s="730" t="s">
        <v>380</v>
      </c>
      <c r="B51" s="730"/>
      <c r="C51" s="730"/>
      <c r="D51" s="730"/>
      <c r="E51" s="730"/>
      <c r="F51" s="730"/>
      <c r="G51" s="730"/>
      <c r="Z51" s="242" t="s">
        <v>595</v>
      </c>
      <c r="AA51" s="2141">
        <v>21411</v>
      </c>
      <c r="AB51" s="248">
        <f t="shared" si="13"/>
        <v>29</v>
      </c>
      <c r="AD51" s="715"/>
      <c r="AE51" s="1161"/>
      <c r="AF51" s="111"/>
      <c r="AG51" s="221">
        <f t="shared" si="14"/>
        <v>3794</v>
      </c>
    </row>
    <row r="52" spans="26:33" ht="42.75" customHeight="1">
      <c r="Z52" s="242" t="s">
        <v>596</v>
      </c>
      <c r="AA52" s="2141">
        <v>9882</v>
      </c>
      <c r="AB52" s="248">
        <f t="shared" si="13"/>
        <v>13</v>
      </c>
      <c r="AD52" s="715"/>
      <c r="AE52" s="1161"/>
      <c r="AF52" s="111"/>
      <c r="AG52" s="221">
        <f t="shared" si="14"/>
        <v>17327</v>
      </c>
    </row>
    <row r="53" spans="1:46" s="220" customFormat="1" ht="42.75" customHeight="1">
      <c r="A53" s="220" t="s">
        <v>908</v>
      </c>
      <c r="N53" s="285"/>
      <c r="Q53" s="221"/>
      <c r="R53" s="221"/>
      <c r="S53" s="221"/>
      <c r="T53" s="221"/>
      <c r="U53" s="221"/>
      <c r="V53" s="221"/>
      <c r="W53" s="221"/>
      <c r="X53" s="221"/>
      <c r="Y53" s="221"/>
      <c r="Z53" s="242" t="s">
        <v>597</v>
      </c>
      <c r="AA53" s="2141">
        <v>8124</v>
      </c>
      <c r="AB53" s="248">
        <f t="shared" si="13"/>
        <v>11</v>
      </c>
      <c r="AC53" s="221"/>
      <c r="AD53" s="715"/>
      <c r="AE53" s="1161"/>
      <c r="AF53" s="111"/>
      <c r="AG53" s="221">
        <f t="shared" si="14"/>
        <v>17995</v>
      </c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</row>
    <row r="54" spans="8:33" ht="42.75" customHeight="1" thickBot="1">
      <c r="H54" s="221" t="s">
        <v>909</v>
      </c>
      <c r="Z54" s="242" t="s">
        <v>598</v>
      </c>
      <c r="AA54" s="2141">
        <v>5034</v>
      </c>
      <c r="AB54" s="248">
        <f t="shared" si="13"/>
        <v>7</v>
      </c>
      <c r="AD54" s="715"/>
      <c r="AE54" s="1161"/>
      <c r="AF54" s="111"/>
      <c r="AG54" s="221">
        <f t="shared" si="14"/>
        <v>0</v>
      </c>
    </row>
    <row r="55" spans="1:32" ht="42.75" customHeight="1" thickBot="1">
      <c r="A55" s="226"/>
      <c r="B55" s="292" t="s">
        <v>1632</v>
      </c>
      <c r="C55" s="293"/>
      <c r="D55" s="224" t="s">
        <v>910</v>
      </c>
      <c r="E55" s="225"/>
      <c r="F55" s="225"/>
      <c r="G55" s="225"/>
      <c r="H55" s="225"/>
      <c r="I55" s="225"/>
      <c r="J55" s="294"/>
      <c r="N55" s="222" t="s">
        <v>640</v>
      </c>
      <c r="Z55" s="242" t="s">
        <v>599</v>
      </c>
      <c r="AA55" s="2141">
        <v>8079</v>
      </c>
      <c r="AB55" s="248">
        <f t="shared" si="13"/>
        <v>11</v>
      </c>
      <c r="AD55" s="715"/>
      <c r="AE55" s="1161"/>
      <c r="AF55" s="111"/>
    </row>
    <row r="56" spans="1:32" ht="42.75" customHeight="1" thickBot="1">
      <c r="A56" s="260"/>
      <c r="B56" s="295" t="s">
        <v>1633</v>
      </c>
      <c r="C56" s="296"/>
      <c r="D56" s="275"/>
      <c r="E56" s="223" t="s">
        <v>911</v>
      </c>
      <c r="F56" s="1671" t="s">
        <v>912</v>
      </c>
      <c r="G56" s="276" t="s">
        <v>913</v>
      </c>
      <c r="H56" s="276"/>
      <c r="I56" s="277"/>
      <c r="J56" s="226"/>
      <c r="Z56" s="242"/>
      <c r="AA56" s="2141"/>
      <c r="AB56" s="248"/>
      <c r="AD56" s="715"/>
      <c r="AE56" s="1161"/>
      <c r="AF56" s="111"/>
    </row>
    <row r="57" spans="1:32" ht="42.75" customHeight="1">
      <c r="A57" s="260"/>
      <c r="B57" s="297" t="s">
        <v>1634</v>
      </c>
      <c r="C57" s="298"/>
      <c r="D57" s="228" t="s">
        <v>914</v>
      </c>
      <c r="E57" s="230" t="s">
        <v>915</v>
      </c>
      <c r="F57" s="233" t="s">
        <v>916</v>
      </c>
      <c r="G57" s="226" t="s">
        <v>878</v>
      </c>
      <c r="H57" s="226" t="s">
        <v>879</v>
      </c>
      <c r="I57" s="227" t="s">
        <v>917</v>
      </c>
      <c r="J57" s="260" t="s">
        <v>918</v>
      </c>
      <c r="Z57" s="253" t="s">
        <v>602</v>
      </c>
      <c r="AA57" s="2137">
        <v>31579</v>
      </c>
      <c r="AB57" s="263">
        <f>SUM(AB58:AB61)</f>
        <v>42</v>
      </c>
      <c r="AD57" s="714"/>
      <c r="AE57" s="2174"/>
      <c r="AF57" s="2175"/>
    </row>
    <row r="58" spans="1:33" ht="42.75" customHeight="1" thickBot="1">
      <c r="A58" s="288"/>
      <c r="B58" s="299" t="s">
        <v>1635</v>
      </c>
      <c r="C58" s="300"/>
      <c r="D58" s="289" t="s">
        <v>919</v>
      </c>
      <c r="E58" s="289" t="s">
        <v>920</v>
      </c>
      <c r="F58" s="289" t="s">
        <v>883</v>
      </c>
      <c r="G58" s="288"/>
      <c r="H58" s="288"/>
      <c r="I58" s="301" t="s">
        <v>921</v>
      </c>
      <c r="J58" s="288"/>
      <c r="Z58" s="242" t="s">
        <v>604</v>
      </c>
      <c r="AA58" s="2141">
        <v>5028</v>
      </c>
      <c r="AB58" s="248">
        <f>ROUND((AA58*$AB$29),0)</f>
        <v>7</v>
      </c>
      <c r="AD58" s="715"/>
      <c r="AE58" s="1161"/>
      <c r="AF58" s="111"/>
      <c r="AG58" s="111"/>
    </row>
    <row r="59" spans="1:33" ht="66.75" customHeight="1" thickBot="1">
      <c r="A59" s="224" t="s">
        <v>900</v>
      </c>
      <c r="B59" s="2908">
        <v>2384</v>
      </c>
      <c r="C59" s="2908"/>
      <c r="D59" s="287">
        <v>216108</v>
      </c>
      <c r="E59" s="2646" t="s">
        <v>464</v>
      </c>
      <c r="F59" s="286">
        <v>206913</v>
      </c>
      <c r="G59" s="287" t="s">
        <v>464</v>
      </c>
      <c r="H59" s="287" t="s">
        <v>464</v>
      </c>
      <c r="I59" s="287">
        <v>9070</v>
      </c>
      <c r="J59" s="2647" t="s">
        <v>464</v>
      </c>
      <c r="Z59" s="242" t="s">
        <v>606</v>
      </c>
      <c r="AA59" s="2141">
        <v>2523</v>
      </c>
      <c r="AB59" s="248">
        <f>ROUND((AA59*$AB$29),0)</f>
        <v>3</v>
      </c>
      <c r="AD59" s="715"/>
      <c r="AE59" s="1161"/>
      <c r="AF59" s="111"/>
      <c r="AG59" s="111"/>
    </row>
    <row r="60" spans="26:33" ht="42.75" customHeight="1">
      <c r="Z60" s="242" t="s">
        <v>607</v>
      </c>
      <c r="AA60" s="2141">
        <v>12191</v>
      </c>
      <c r="AB60" s="248">
        <f>ROUND((AA60*$AB$29),0)</f>
        <v>16</v>
      </c>
      <c r="AD60" s="715"/>
      <c r="AE60" s="1161"/>
      <c r="AF60" s="111"/>
      <c r="AG60" s="111"/>
    </row>
    <row r="61" spans="1:33" ht="42.75" customHeight="1" thickBot="1">
      <c r="A61" s="264" t="s">
        <v>922</v>
      </c>
      <c r="B61" s="264"/>
      <c r="C61" s="264"/>
      <c r="D61" s="409"/>
      <c r="E61" s="409"/>
      <c r="F61" s="409"/>
      <c r="G61" s="2556"/>
      <c r="Z61" s="256" t="s">
        <v>608</v>
      </c>
      <c r="AA61" s="2419">
        <v>11837</v>
      </c>
      <c r="AB61" s="248">
        <f>ROUND((AA61*$AB$29),0)</f>
        <v>16</v>
      </c>
      <c r="AD61" s="715"/>
      <c r="AE61" s="1161"/>
      <c r="AF61" s="111"/>
      <c r="AG61" s="111"/>
    </row>
    <row r="62" spans="1:19" ht="20.25" customHeight="1" thickBot="1">
      <c r="A62" s="409"/>
      <c r="B62" s="409"/>
      <c r="C62" s="409"/>
      <c r="D62" s="409"/>
      <c r="E62" s="409"/>
      <c r="F62" s="409"/>
      <c r="G62" s="2556"/>
      <c r="J62" s="251"/>
      <c r="K62" s="1955"/>
      <c r="L62" s="1955"/>
      <c r="M62" s="1955"/>
      <c r="N62" s="1955"/>
      <c r="O62" s="1955"/>
      <c r="P62" s="1955"/>
      <c r="Q62" s="221" t="s">
        <v>1063</v>
      </c>
      <c r="S62" s="222">
        <v>10000</v>
      </c>
    </row>
    <row r="63" spans="1:19" ht="29.25" customHeight="1" thickBot="1">
      <c r="A63" s="2548" t="s">
        <v>217</v>
      </c>
      <c r="B63" s="2549"/>
      <c r="C63" s="2550"/>
      <c r="D63" s="2548" t="s">
        <v>212</v>
      </c>
      <c r="E63" s="2549"/>
      <c r="F63" s="2550"/>
      <c r="G63" s="2551"/>
      <c r="J63" s="111"/>
      <c r="K63" s="111"/>
      <c r="L63" s="111"/>
      <c r="M63" s="111"/>
      <c r="N63" s="715"/>
      <c r="O63" s="111"/>
      <c r="P63" s="111"/>
      <c r="Q63" s="221" t="s">
        <v>1064</v>
      </c>
      <c r="S63" s="222">
        <v>9556</v>
      </c>
    </row>
    <row r="64" spans="1:21" ht="147" customHeight="1" thickBot="1">
      <c r="A64" s="2552" t="s">
        <v>210</v>
      </c>
      <c r="B64" s="2553" t="s">
        <v>211</v>
      </c>
      <c r="C64" s="2554" t="s">
        <v>218</v>
      </c>
      <c r="D64" s="2553" t="s">
        <v>210</v>
      </c>
      <c r="E64" s="2553" t="s">
        <v>211</v>
      </c>
      <c r="F64" s="2554" t="s">
        <v>219</v>
      </c>
      <c r="G64" s="2555" t="s">
        <v>220</v>
      </c>
      <c r="O64" s="111"/>
      <c r="P64" s="111"/>
      <c r="Q64" s="220"/>
      <c r="R64" s="220"/>
      <c r="S64" s="285">
        <f>SUM(S62:S63)</f>
        <v>19556</v>
      </c>
      <c r="T64" s="220"/>
      <c r="U64" s="220"/>
    </row>
    <row r="65" spans="1:21" ht="39" customHeight="1" thickBot="1">
      <c r="A65" s="2557">
        <v>115</v>
      </c>
      <c r="B65" s="2558">
        <v>144</v>
      </c>
      <c r="C65" s="2559">
        <v>55041.429</v>
      </c>
      <c r="D65" s="2558">
        <v>115</v>
      </c>
      <c r="E65" s="2558">
        <v>580</v>
      </c>
      <c r="F65" s="2560">
        <v>32558.316</v>
      </c>
      <c r="G65" s="2565">
        <f>SUM(C65+F65)</f>
        <v>87599.745</v>
      </c>
      <c r="O65" s="111"/>
      <c r="P65" s="111"/>
      <c r="Q65" s="220"/>
      <c r="R65" s="220"/>
      <c r="S65" s="285"/>
      <c r="T65" s="220"/>
      <c r="U65" s="220"/>
    </row>
    <row r="66" spans="1:21" ht="52.5" customHeight="1" thickBot="1">
      <c r="A66" s="2561"/>
      <c r="B66" s="2562"/>
      <c r="C66" s="2563"/>
      <c r="D66" s="2562"/>
      <c r="E66" s="2562"/>
      <c r="F66" s="2563"/>
      <c r="G66" s="2556"/>
      <c r="O66" s="111"/>
      <c r="P66" s="111"/>
      <c r="Q66" s="220"/>
      <c r="R66" s="220"/>
      <c r="S66" s="285"/>
      <c r="T66" s="220"/>
      <c r="U66" s="220"/>
    </row>
    <row r="67" spans="1:21" ht="58.5" customHeight="1" thickBot="1">
      <c r="A67" s="2548" t="s">
        <v>213</v>
      </c>
      <c r="B67" s="2549"/>
      <c r="C67" s="2550"/>
      <c r="D67" s="2548" t="s">
        <v>215</v>
      </c>
      <c r="E67" s="2549"/>
      <c r="F67" s="2550"/>
      <c r="G67" s="2551"/>
      <c r="O67" s="111"/>
      <c r="P67" s="111"/>
      <c r="Q67" s="220"/>
      <c r="R67" s="220"/>
      <c r="S67" s="285"/>
      <c r="T67" s="220"/>
      <c r="U67" s="220"/>
    </row>
    <row r="68" spans="1:22" ht="107.25" customHeight="1" thickBot="1">
      <c r="A68" s="2552" t="s">
        <v>210</v>
      </c>
      <c r="B68" s="2553" t="s">
        <v>211</v>
      </c>
      <c r="C68" s="2554" t="s">
        <v>218</v>
      </c>
      <c r="D68" s="2553" t="s">
        <v>210</v>
      </c>
      <c r="E68" s="2553" t="s">
        <v>211</v>
      </c>
      <c r="F68" s="2554" t="s">
        <v>218</v>
      </c>
      <c r="G68" s="2555" t="s">
        <v>221</v>
      </c>
      <c r="H68" s="111"/>
      <c r="O68" s="111"/>
      <c r="P68" s="111"/>
      <c r="S68" s="222" t="e">
        <f>#REF!-S64</f>
        <v>#REF!</v>
      </c>
      <c r="T68" s="221" t="e">
        <f>S68/10.5</f>
        <v>#REF!</v>
      </c>
      <c r="V68" s="220"/>
    </row>
    <row r="69" spans="1:19" ht="28.5" thickBot="1">
      <c r="A69" s="2557">
        <v>113</v>
      </c>
      <c r="B69" s="2558">
        <v>3</v>
      </c>
      <c r="C69" s="2559">
        <v>212.83</v>
      </c>
      <c r="D69" s="2558">
        <v>113</v>
      </c>
      <c r="E69" s="2558">
        <v>543</v>
      </c>
      <c r="F69" s="2560">
        <v>3284.821</v>
      </c>
      <c r="G69" s="2565">
        <f>SUM(C69+F69)</f>
        <v>3497.651</v>
      </c>
      <c r="H69" s="111"/>
      <c r="Q69" s="221" t="s">
        <v>1065</v>
      </c>
      <c r="S69" s="222">
        <v>8934</v>
      </c>
    </row>
    <row r="70" spans="1:19" ht="28.5" thickBot="1">
      <c r="A70" s="564"/>
      <c r="B70" s="2564"/>
      <c r="C70" s="564"/>
      <c r="D70" s="564"/>
      <c r="E70" s="2564"/>
      <c r="F70" s="564"/>
      <c r="G70" s="2556"/>
      <c r="H70" s="111"/>
      <c r="Q70" s="221" t="s">
        <v>1066</v>
      </c>
      <c r="S70" s="222">
        <v>2624</v>
      </c>
    </row>
    <row r="71" spans="1:19" ht="36.75" customHeight="1" thickBot="1">
      <c r="A71" s="2548" t="s">
        <v>216</v>
      </c>
      <c r="B71" s="2549"/>
      <c r="C71" s="2550"/>
      <c r="D71" s="2548" t="s">
        <v>214</v>
      </c>
      <c r="E71" s="2549"/>
      <c r="F71" s="2550"/>
      <c r="G71" s="2551"/>
      <c r="H71" s="111"/>
      <c r="S71" s="222"/>
    </row>
    <row r="72" spans="1:21" ht="108" customHeight="1" thickBot="1">
      <c r="A72" s="2552" t="s">
        <v>210</v>
      </c>
      <c r="B72" s="2553" t="s">
        <v>211</v>
      </c>
      <c r="C72" s="2554" t="s">
        <v>218</v>
      </c>
      <c r="D72" s="2553" t="s">
        <v>210</v>
      </c>
      <c r="E72" s="2553" t="s">
        <v>211</v>
      </c>
      <c r="F72" s="2554" t="s">
        <v>218</v>
      </c>
      <c r="G72" s="2555" t="s">
        <v>222</v>
      </c>
      <c r="H72" s="111"/>
      <c r="S72" s="222">
        <f>SUM(S69:S70)</f>
        <v>11558</v>
      </c>
      <c r="T72" s="221">
        <f>S72*0.8</f>
        <v>9246.4</v>
      </c>
      <c r="U72" s="221">
        <f>T72/5.5</f>
        <v>1681.1636363636362</v>
      </c>
    </row>
    <row r="73" spans="1:21" ht="34.5" customHeight="1" thickBot="1">
      <c r="A73" s="2557">
        <v>80</v>
      </c>
      <c r="B73" s="2558">
        <v>3</v>
      </c>
      <c r="C73" s="2559">
        <v>119.638</v>
      </c>
      <c r="D73" s="2558">
        <v>80</v>
      </c>
      <c r="E73" s="2558">
        <v>186</v>
      </c>
      <c r="F73" s="2560">
        <v>1302.926</v>
      </c>
      <c r="G73" s="2565">
        <f>SUM(C73+F73)</f>
        <v>1422.5639999999999</v>
      </c>
      <c r="H73" s="111"/>
      <c r="S73" s="222"/>
      <c r="U73" s="220" t="e">
        <f>U72+T68</f>
        <v>#REF!</v>
      </c>
    </row>
    <row r="74" spans="3:18" ht="23.25">
      <c r="C74" s="111"/>
      <c r="D74" s="111"/>
      <c r="E74" s="111"/>
      <c r="F74" s="111"/>
      <c r="G74" s="111"/>
      <c r="H74" s="111"/>
      <c r="Q74" s="221">
        <v>5930000</v>
      </c>
      <c r="R74" s="290">
        <f>Q74/218066</f>
        <v>27.19360193702824</v>
      </c>
    </row>
    <row r="75" spans="3:8" ht="23.25">
      <c r="C75" s="2546"/>
      <c r="D75" s="2546"/>
      <c r="E75" s="2546"/>
      <c r="F75" s="715"/>
      <c r="G75" s="111"/>
      <c r="H75" s="111"/>
    </row>
    <row r="76" spans="3:18" ht="45.75" customHeight="1">
      <c r="C76" s="2547"/>
      <c r="D76" s="2547"/>
      <c r="E76" s="2547"/>
      <c r="F76" s="2547"/>
      <c r="G76" s="111"/>
      <c r="H76" s="111"/>
      <c r="R76" s="221">
        <v>1262</v>
      </c>
    </row>
    <row r="77" spans="1:18" ht="23.25">
      <c r="A77" s="111"/>
      <c r="B77" s="111"/>
      <c r="C77" s="111"/>
      <c r="D77" s="111"/>
      <c r="E77" s="111"/>
      <c r="F77" s="111"/>
      <c r="G77" s="111"/>
      <c r="H77" s="111"/>
      <c r="R77" s="221">
        <v>450</v>
      </c>
    </row>
    <row r="78" spans="1:22" ht="23.25">
      <c r="A78" s="111"/>
      <c r="B78" s="111"/>
      <c r="C78" s="111"/>
      <c r="D78" s="111"/>
      <c r="E78" s="111"/>
      <c r="F78" s="111"/>
      <c r="G78" s="111"/>
      <c r="H78" s="111"/>
      <c r="Q78" s="220"/>
      <c r="R78" s="220">
        <f>SUM(R76:R77)</f>
        <v>1712</v>
      </c>
      <c r="S78" s="291">
        <f>R78*1000/218066</f>
        <v>7.8508341511285575</v>
      </c>
      <c r="T78" s="220"/>
      <c r="U78" s="220"/>
      <c r="V78" s="220"/>
    </row>
  </sheetData>
  <sheetProtection/>
  <mergeCells count="1">
    <mergeCell ref="B59:C59"/>
  </mergeCells>
  <printOptions/>
  <pageMargins left="0.17" right="0.5905511811023623" top="0.3" bottom="0.984251968503937" header="0.8267716535433072" footer="0.5118110236220472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="53" zoomScaleNormal="53" zoomScalePageLayoutView="0" workbookViewId="0" topLeftCell="A25">
      <selection activeCell="G15" sqref="G15"/>
    </sheetView>
  </sheetViews>
  <sheetFormatPr defaultColWidth="9.140625" defaultRowHeight="12.75"/>
  <cols>
    <col min="1" max="1" width="22.8515625" style="85" customWidth="1"/>
    <col min="2" max="2" width="22.57421875" style="73" customWidth="1"/>
    <col min="3" max="3" width="19.7109375" style="73" customWidth="1"/>
    <col min="4" max="4" width="13.140625" style="73" customWidth="1"/>
    <col min="5" max="5" width="16.8515625" style="73" customWidth="1"/>
    <col min="6" max="6" width="32.8515625" style="73" customWidth="1"/>
    <col min="7" max="7" width="21.421875" style="73" customWidth="1"/>
    <col min="8" max="8" width="16.8515625" style="73" customWidth="1"/>
    <col min="9" max="9" width="22.28125" style="73" customWidth="1"/>
    <col min="10" max="10" width="21.421875" style="73" customWidth="1"/>
    <col min="11" max="11" width="23.140625" style="73" customWidth="1"/>
    <col min="12" max="12" width="22.00390625" style="73" customWidth="1"/>
    <col min="13" max="13" width="17.421875" style="73" customWidth="1"/>
    <col min="14" max="14" width="22.00390625" style="73" customWidth="1"/>
    <col min="15" max="15" width="25.28125" style="73" customWidth="1"/>
    <col min="16" max="16" width="22.57421875" style="73" customWidth="1"/>
    <col min="17" max="17" width="21.28125" style="73" customWidth="1"/>
    <col min="18" max="18" width="17.7109375" style="73" customWidth="1"/>
    <col min="19" max="19" width="21.00390625" style="73" customWidth="1"/>
    <col min="20" max="20" width="20.7109375" style="73" customWidth="1"/>
    <col min="21" max="21" width="22.57421875" style="73" customWidth="1"/>
    <col min="22" max="16384" width="9.140625" style="73" customWidth="1"/>
  </cols>
  <sheetData>
    <row r="1" s="85" customFormat="1" ht="33" customHeight="1">
      <c r="A1" s="85" t="s">
        <v>204</v>
      </c>
    </row>
    <row r="2" s="85" customFormat="1" ht="33" customHeight="1">
      <c r="A2" s="100" t="s">
        <v>205</v>
      </c>
    </row>
    <row r="3" spans="2:9" ht="15" customHeight="1" thickBot="1">
      <c r="B3" s="14"/>
      <c r="C3" s="14"/>
      <c r="D3" s="14"/>
      <c r="E3" s="14"/>
      <c r="F3" s="14"/>
      <c r="G3" s="14"/>
      <c r="H3" s="14"/>
      <c r="I3" s="14"/>
    </row>
    <row r="4" spans="1:21" s="85" customFormat="1" ht="45" customHeight="1" thickBot="1" thickTop="1">
      <c r="A4" s="1630" t="s">
        <v>489</v>
      </c>
      <c r="B4" s="769" t="s">
        <v>423</v>
      </c>
      <c r="C4" s="770"/>
      <c r="D4" s="770"/>
      <c r="E4" s="770"/>
      <c r="F4" s="771"/>
      <c r="G4" s="2841" t="s">
        <v>225</v>
      </c>
      <c r="H4" s="2842"/>
      <c r="I4" s="2842"/>
      <c r="J4" s="2842"/>
      <c r="K4" s="2843"/>
      <c r="L4" s="2841" t="s">
        <v>224</v>
      </c>
      <c r="M4" s="2842"/>
      <c r="N4" s="2842"/>
      <c r="O4" s="2842"/>
      <c r="P4" s="2842"/>
      <c r="Q4" s="2841" t="s">
        <v>1397</v>
      </c>
      <c r="R4" s="2842"/>
      <c r="S4" s="2842"/>
      <c r="T4" s="2842"/>
      <c r="U4" s="2843"/>
    </row>
    <row r="5" spans="1:21" ht="45" customHeight="1" thickBot="1">
      <c r="A5" s="1631" t="s">
        <v>1281</v>
      </c>
      <c r="B5" s="772" t="s">
        <v>491</v>
      </c>
      <c r="C5" s="772" t="s">
        <v>492</v>
      </c>
      <c r="D5" s="772" t="s">
        <v>493</v>
      </c>
      <c r="E5" s="772" t="s">
        <v>494</v>
      </c>
      <c r="F5" s="772" t="s">
        <v>495</v>
      </c>
      <c r="G5" s="772" t="s">
        <v>496</v>
      </c>
      <c r="H5" s="772" t="s">
        <v>494</v>
      </c>
      <c r="I5" s="547" t="s">
        <v>1398</v>
      </c>
      <c r="J5" s="547" t="s">
        <v>1399</v>
      </c>
      <c r="K5" s="547" t="s">
        <v>1400</v>
      </c>
      <c r="L5" s="772" t="s">
        <v>496</v>
      </c>
      <c r="M5" s="772" t="s">
        <v>494</v>
      </c>
      <c r="N5" s="547" t="s">
        <v>1398</v>
      </c>
      <c r="O5" s="547" t="s">
        <v>1399</v>
      </c>
      <c r="P5" s="547" t="s">
        <v>1400</v>
      </c>
      <c r="Q5" s="772" t="s">
        <v>496</v>
      </c>
      <c r="R5" s="772" t="s">
        <v>494</v>
      </c>
      <c r="S5" s="547" t="s">
        <v>1401</v>
      </c>
      <c r="T5" s="547" t="s">
        <v>1399</v>
      </c>
      <c r="U5" s="547" t="s">
        <v>1400</v>
      </c>
    </row>
    <row r="6" spans="1:21" ht="45" customHeight="1">
      <c r="A6" s="773"/>
      <c r="B6" s="774" t="s">
        <v>497</v>
      </c>
      <c r="C6" s="774" t="s">
        <v>177</v>
      </c>
      <c r="D6" s="774" t="s">
        <v>498</v>
      </c>
      <c r="E6" s="774" t="s">
        <v>499</v>
      </c>
      <c r="F6" s="101" t="s">
        <v>1651</v>
      </c>
      <c r="G6" s="774" t="s">
        <v>923</v>
      </c>
      <c r="H6" s="774" t="s">
        <v>499</v>
      </c>
      <c r="I6" s="101" t="s">
        <v>1650</v>
      </c>
      <c r="J6" s="101" t="s">
        <v>1650</v>
      </c>
      <c r="K6" s="101" t="s">
        <v>1650</v>
      </c>
      <c r="L6" s="774" t="s">
        <v>923</v>
      </c>
      <c r="M6" s="774" t="s">
        <v>499</v>
      </c>
      <c r="N6" s="101" t="s">
        <v>1650</v>
      </c>
      <c r="O6" s="101" t="s">
        <v>1650</v>
      </c>
      <c r="P6" s="101" t="s">
        <v>1650</v>
      </c>
      <c r="Q6" s="774" t="s">
        <v>923</v>
      </c>
      <c r="R6" s="774" t="s">
        <v>499</v>
      </c>
      <c r="S6" s="101" t="s">
        <v>493</v>
      </c>
      <c r="T6" s="101" t="s">
        <v>493</v>
      </c>
      <c r="U6" s="101" t="s">
        <v>493</v>
      </c>
    </row>
    <row r="7" spans="1:21" ht="45" customHeight="1" thickBot="1">
      <c r="A7" s="775"/>
      <c r="B7" s="776" t="s">
        <v>501</v>
      </c>
      <c r="C7" s="776" t="s">
        <v>513</v>
      </c>
      <c r="D7" s="777"/>
      <c r="E7" s="776" t="s">
        <v>514</v>
      </c>
      <c r="F7" s="776" t="s">
        <v>1285</v>
      </c>
      <c r="G7" s="776" t="s">
        <v>515</v>
      </c>
      <c r="H7" s="776" t="s">
        <v>514</v>
      </c>
      <c r="I7" s="776" t="s">
        <v>1285</v>
      </c>
      <c r="J7" s="776" t="s">
        <v>1285</v>
      </c>
      <c r="K7" s="776" t="s">
        <v>1285</v>
      </c>
      <c r="L7" s="776" t="s">
        <v>515</v>
      </c>
      <c r="M7" s="776" t="s">
        <v>514</v>
      </c>
      <c r="N7" s="776" t="s">
        <v>1285</v>
      </c>
      <c r="O7" s="776" t="s">
        <v>1285</v>
      </c>
      <c r="P7" s="776" t="s">
        <v>1285</v>
      </c>
      <c r="Q7" s="776" t="s">
        <v>515</v>
      </c>
      <c r="R7" s="776" t="s">
        <v>514</v>
      </c>
      <c r="S7" s="776" t="s">
        <v>1285</v>
      </c>
      <c r="T7" s="776" t="s">
        <v>1285</v>
      </c>
      <c r="U7" s="776" t="s">
        <v>1285</v>
      </c>
    </row>
    <row r="8" spans="1:21" ht="45" customHeight="1">
      <c r="A8" s="778" t="s">
        <v>517</v>
      </c>
      <c r="B8" s="1936"/>
      <c r="C8" s="1936"/>
      <c r="D8" s="1937"/>
      <c r="E8" s="1936"/>
      <c r="F8" s="762"/>
      <c r="G8" s="1332"/>
      <c r="H8" s="1936"/>
      <c r="I8" s="1936"/>
      <c r="J8" s="1936"/>
      <c r="K8" s="762"/>
      <c r="L8" s="763"/>
      <c r="M8" s="763"/>
      <c r="N8" s="763"/>
      <c r="O8" s="2566"/>
      <c r="P8" s="2570"/>
      <c r="Q8" s="763"/>
      <c r="R8" s="763"/>
      <c r="S8" s="763"/>
      <c r="T8" s="763"/>
      <c r="U8" s="763"/>
    </row>
    <row r="9" spans="1:21" ht="45" customHeight="1" thickBot="1">
      <c r="A9" s="779" t="s">
        <v>432</v>
      </c>
      <c r="B9" s="1747">
        <v>203</v>
      </c>
      <c r="C9" s="1747">
        <v>4</v>
      </c>
      <c r="D9" s="1938">
        <v>199</v>
      </c>
      <c r="E9" s="1747">
        <v>131</v>
      </c>
      <c r="F9" s="1748">
        <v>41790</v>
      </c>
      <c r="G9" s="1934" t="s">
        <v>464</v>
      </c>
      <c r="H9" s="1934" t="s">
        <v>464</v>
      </c>
      <c r="I9" s="1934" t="s">
        <v>464</v>
      </c>
      <c r="J9" s="1744" t="s">
        <v>464</v>
      </c>
      <c r="K9" s="1745" t="s">
        <v>464</v>
      </c>
      <c r="L9" s="1746">
        <v>1</v>
      </c>
      <c r="M9" s="1746">
        <v>1</v>
      </c>
      <c r="N9" s="1746" t="s">
        <v>464</v>
      </c>
      <c r="O9" s="2567">
        <v>1785</v>
      </c>
      <c r="P9" s="2571" t="s">
        <v>464</v>
      </c>
      <c r="Q9" s="1746" t="s">
        <v>464</v>
      </c>
      <c r="R9" s="1746" t="s">
        <v>464</v>
      </c>
      <c r="S9" s="1746" t="s">
        <v>464</v>
      </c>
      <c r="T9" s="1746" t="s">
        <v>464</v>
      </c>
      <c r="U9" s="1746" t="s">
        <v>464</v>
      </c>
    </row>
    <row r="10" spans="1:21" ht="45" customHeight="1">
      <c r="A10" s="778" t="s">
        <v>529</v>
      </c>
      <c r="B10" s="1935"/>
      <c r="C10" s="1935"/>
      <c r="D10" s="1939"/>
      <c r="E10" s="1935"/>
      <c r="F10" s="1940"/>
      <c r="G10" s="1941"/>
      <c r="H10" s="1747"/>
      <c r="I10" s="1747"/>
      <c r="J10" s="1747"/>
      <c r="K10" s="1748"/>
      <c r="L10" s="1749"/>
      <c r="M10" s="1749"/>
      <c r="N10" s="1749"/>
      <c r="O10" s="2568"/>
      <c r="P10" s="2572"/>
      <c r="Q10" s="1749"/>
      <c r="R10" s="1749"/>
      <c r="S10" s="1749"/>
      <c r="T10" s="1749"/>
      <c r="U10" s="1749"/>
    </row>
    <row r="11" spans="1:21" ht="45" customHeight="1" thickBot="1">
      <c r="A11" s="779" t="s">
        <v>433</v>
      </c>
      <c r="B11" s="1750">
        <v>136</v>
      </c>
      <c r="C11" s="1750">
        <v>11</v>
      </c>
      <c r="D11" s="1942">
        <v>125</v>
      </c>
      <c r="E11" s="1750">
        <v>85</v>
      </c>
      <c r="F11" s="1751">
        <v>26250</v>
      </c>
      <c r="G11" s="1934">
        <v>45</v>
      </c>
      <c r="H11" s="1744">
        <v>2</v>
      </c>
      <c r="I11" s="1744" t="s">
        <v>464</v>
      </c>
      <c r="J11" s="1744" t="s">
        <v>464</v>
      </c>
      <c r="K11" s="1745">
        <v>5850</v>
      </c>
      <c r="L11" s="1746">
        <v>30</v>
      </c>
      <c r="M11" s="1746">
        <v>13</v>
      </c>
      <c r="N11" s="1746" t="s">
        <v>464</v>
      </c>
      <c r="O11" s="2567">
        <v>68951</v>
      </c>
      <c r="P11" s="2571">
        <v>352</v>
      </c>
      <c r="Q11" s="1746" t="s">
        <v>464</v>
      </c>
      <c r="R11" s="1746" t="s">
        <v>464</v>
      </c>
      <c r="S11" s="1746" t="s">
        <v>464</v>
      </c>
      <c r="T11" s="1746" t="s">
        <v>464</v>
      </c>
      <c r="U11" s="1746" t="s">
        <v>464</v>
      </c>
    </row>
    <row r="12" spans="1:21" ht="45" customHeight="1">
      <c r="A12" s="778" t="s">
        <v>530</v>
      </c>
      <c r="B12" s="1747"/>
      <c r="C12" s="1747"/>
      <c r="D12" s="1938"/>
      <c r="E12" s="1747"/>
      <c r="F12" s="1748"/>
      <c r="G12" s="1941"/>
      <c r="H12" s="1747"/>
      <c r="I12" s="1747"/>
      <c r="J12" s="1747"/>
      <c r="K12" s="1748"/>
      <c r="L12" s="1749"/>
      <c r="M12" s="1749"/>
      <c r="N12" s="1749"/>
      <c r="O12" s="2568"/>
      <c r="P12" s="2572"/>
      <c r="Q12" s="1749"/>
      <c r="R12" s="1749"/>
      <c r="S12" s="1749"/>
      <c r="T12" s="1749"/>
      <c r="U12" s="1749"/>
    </row>
    <row r="13" spans="1:21" ht="45" customHeight="1" thickBot="1">
      <c r="A13" s="779" t="s">
        <v>532</v>
      </c>
      <c r="B13" s="1747">
        <v>117</v>
      </c>
      <c r="C13" s="1747">
        <v>7</v>
      </c>
      <c r="D13" s="1938">
        <v>110</v>
      </c>
      <c r="E13" s="1747">
        <v>85</v>
      </c>
      <c r="F13" s="1748">
        <v>23100</v>
      </c>
      <c r="G13" s="1934" t="s">
        <v>464</v>
      </c>
      <c r="H13" s="1934" t="s">
        <v>464</v>
      </c>
      <c r="I13" s="1934" t="s">
        <v>464</v>
      </c>
      <c r="J13" s="1744" t="s">
        <v>464</v>
      </c>
      <c r="K13" s="1745" t="s">
        <v>464</v>
      </c>
      <c r="L13" s="1746">
        <v>1</v>
      </c>
      <c r="M13" s="1746">
        <v>1</v>
      </c>
      <c r="N13" s="1746" t="s">
        <v>464</v>
      </c>
      <c r="O13" s="2567">
        <v>2604</v>
      </c>
      <c r="P13" s="2571" t="s">
        <v>464</v>
      </c>
      <c r="Q13" s="1746" t="s">
        <v>464</v>
      </c>
      <c r="R13" s="1746" t="s">
        <v>464</v>
      </c>
      <c r="S13" s="1746" t="s">
        <v>464</v>
      </c>
      <c r="T13" s="1746" t="s">
        <v>464</v>
      </c>
      <c r="U13" s="1746" t="s">
        <v>464</v>
      </c>
    </row>
    <row r="14" spans="1:21" ht="45" customHeight="1">
      <c r="A14" s="778" t="s">
        <v>533</v>
      </c>
      <c r="B14" s="1935"/>
      <c r="C14" s="1935"/>
      <c r="D14" s="1939"/>
      <c r="E14" s="1935"/>
      <c r="F14" s="1940"/>
      <c r="G14" s="1941"/>
      <c r="H14" s="1747"/>
      <c r="I14" s="1747"/>
      <c r="J14" s="1747"/>
      <c r="K14" s="1748"/>
      <c r="L14" s="1749"/>
      <c r="M14" s="1749"/>
      <c r="N14" s="1749"/>
      <c r="O14" s="2568"/>
      <c r="P14" s="2572"/>
      <c r="Q14" s="1749"/>
      <c r="R14" s="1749"/>
      <c r="S14" s="1749"/>
      <c r="T14" s="1749"/>
      <c r="U14" s="1749"/>
    </row>
    <row r="15" spans="1:21" ht="45" customHeight="1" thickBot="1">
      <c r="A15" s="779" t="s">
        <v>534</v>
      </c>
      <c r="B15" s="1750">
        <v>118</v>
      </c>
      <c r="C15" s="1750">
        <v>4</v>
      </c>
      <c r="D15" s="1942">
        <v>114</v>
      </c>
      <c r="E15" s="1750">
        <v>78</v>
      </c>
      <c r="F15" s="1751">
        <v>23940</v>
      </c>
      <c r="G15" s="1743">
        <v>2</v>
      </c>
      <c r="H15" s="1750">
        <v>2</v>
      </c>
      <c r="I15" s="1744" t="s">
        <v>464</v>
      </c>
      <c r="J15" s="1744" t="s">
        <v>464</v>
      </c>
      <c r="K15" s="1751"/>
      <c r="L15" s="1746">
        <v>2</v>
      </c>
      <c r="M15" s="1746">
        <v>2</v>
      </c>
      <c r="N15" s="1746" t="s">
        <v>464</v>
      </c>
      <c r="O15" s="2567">
        <v>3549</v>
      </c>
      <c r="P15" s="2571" t="s">
        <v>464</v>
      </c>
      <c r="Q15" s="1746" t="s">
        <v>464</v>
      </c>
      <c r="R15" s="1746" t="s">
        <v>464</v>
      </c>
      <c r="S15" s="1746" t="s">
        <v>464</v>
      </c>
      <c r="T15" s="1746" t="s">
        <v>464</v>
      </c>
      <c r="U15" s="1746" t="s">
        <v>464</v>
      </c>
    </row>
    <row r="16" spans="1:21" ht="45" customHeight="1">
      <c r="A16" s="778" t="s">
        <v>535</v>
      </c>
      <c r="B16" s="1747"/>
      <c r="C16" s="1747"/>
      <c r="D16" s="1938"/>
      <c r="E16" s="1747"/>
      <c r="F16" s="1748"/>
      <c r="G16" s="1941"/>
      <c r="H16" s="1747"/>
      <c r="I16" s="1747"/>
      <c r="J16" s="1747"/>
      <c r="K16" s="1748"/>
      <c r="L16" s="1749"/>
      <c r="M16" s="1749"/>
      <c r="N16" s="1749"/>
      <c r="O16" s="2568"/>
      <c r="P16" s="2572"/>
      <c r="Q16" s="1749"/>
      <c r="R16" s="1749"/>
      <c r="S16" s="1749"/>
      <c r="T16" s="1749"/>
      <c r="U16" s="1749"/>
    </row>
    <row r="17" spans="1:21" ht="45" customHeight="1" thickBot="1">
      <c r="A17" s="779" t="s">
        <v>537</v>
      </c>
      <c r="B17" s="1747">
        <v>103</v>
      </c>
      <c r="C17" s="1747">
        <v>1</v>
      </c>
      <c r="D17" s="1938">
        <v>102</v>
      </c>
      <c r="E17" s="1747">
        <v>77</v>
      </c>
      <c r="F17" s="1748">
        <v>21420</v>
      </c>
      <c r="G17" s="1934" t="s">
        <v>464</v>
      </c>
      <c r="H17" s="1934" t="s">
        <v>464</v>
      </c>
      <c r="I17" s="1934" t="s">
        <v>464</v>
      </c>
      <c r="J17" s="1744" t="s">
        <v>464</v>
      </c>
      <c r="K17" s="1745" t="s">
        <v>464</v>
      </c>
      <c r="L17" s="1745" t="s">
        <v>464</v>
      </c>
      <c r="M17" s="1745" t="s">
        <v>464</v>
      </c>
      <c r="N17" s="1745" t="s">
        <v>464</v>
      </c>
      <c r="O17" s="2567" t="s">
        <v>464</v>
      </c>
      <c r="P17" s="2571" t="s">
        <v>464</v>
      </c>
      <c r="Q17" s="1746" t="s">
        <v>464</v>
      </c>
      <c r="R17" s="1746" t="s">
        <v>464</v>
      </c>
      <c r="S17" s="1746" t="s">
        <v>464</v>
      </c>
      <c r="T17" s="1746" t="s">
        <v>464</v>
      </c>
      <c r="U17" s="1746" t="s">
        <v>464</v>
      </c>
    </row>
    <row r="18" spans="1:21" ht="45" customHeight="1">
      <c r="A18" s="778" t="s">
        <v>538</v>
      </c>
      <c r="B18" s="1935"/>
      <c r="C18" s="1935"/>
      <c r="D18" s="1939"/>
      <c r="E18" s="1935"/>
      <c r="F18" s="1940"/>
      <c r="G18" s="1941"/>
      <c r="H18" s="1747"/>
      <c r="I18" s="1747"/>
      <c r="J18" s="1747"/>
      <c r="K18" s="1748"/>
      <c r="L18" s="1749"/>
      <c r="M18" s="1749"/>
      <c r="N18" s="1749"/>
      <c r="O18" s="2568"/>
      <c r="P18" s="2572"/>
      <c r="Q18" s="1749"/>
      <c r="R18" s="1749"/>
      <c r="S18" s="1749"/>
      <c r="T18" s="1749"/>
      <c r="U18" s="1749"/>
    </row>
    <row r="19" spans="1:21" ht="45" customHeight="1" thickBot="1">
      <c r="A19" s="779" t="s">
        <v>539</v>
      </c>
      <c r="B19" s="1750">
        <v>113</v>
      </c>
      <c r="C19" s="1750">
        <v>2</v>
      </c>
      <c r="D19" s="1942">
        <v>111</v>
      </c>
      <c r="E19" s="1750">
        <v>85</v>
      </c>
      <c r="F19" s="1751">
        <v>23310</v>
      </c>
      <c r="G19" s="1934" t="s">
        <v>464</v>
      </c>
      <c r="H19" s="1934" t="s">
        <v>464</v>
      </c>
      <c r="I19" s="1934" t="s">
        <v>464</v>
      </c>
      <c r="J19" s="1744" t="s">
        <v>464</v>
      </c>
      <c r="K19" s="1745" t="s">
        <v>464</v>
      </c>
      <c r="L19" s="1746" t="s">
        <v>464</v>
      </c>
      <c r="M19" s="1746" t="s">
        <v>464</v>
      </c>
      <c r="N19" s="1746" t="s">
        <v>464</v>
      </c>
      <c r="O19" s="2567" t="s">
        <v>464</v>
      </c>
      <c r="P19" s="2571" t="s">
        <v>464</v>
      </c>
      <c r="Q19" s="1746" t="s">
        <v>464</v>
      </c>
      <c r="R19" s="1746" t="s">
        <v>464</v>
      </c>
      <c r="S19" s="1746" t="s">
        <v>464</v>
      </c>
      <c r="T19" s="1746" t="s">
        <v>464</v>
      </c>
      <c r="U19" s="1746" t="s">
        <v>464</v>
      </c>
    </row>
    <row r="20" spans="1:21" ht="45" customHeight="1">
      <c r="A20" s="778" t="s">
        <v>540</v>
      </c>
      <c r="B20" s="1747"/>
      <c r="C20" s="1747"/>
      <c r="D20" s="1938"/>
      <c r="E20" s="1747"/>
      <c r="F20" s="1748"/>
      <c r="G20" s="1941"/>
      <c r="H20" s="1747"/>
      <c r="I20" s="1747"/>
      <c r="J20" s="1747"/>
      <c r="K20" s="1748"/>
      <c r="L20" s="1749"/>
      <c r="M20" s="1749"/>
      <c r="N20" s="1749"/>
      <c r="O20" s="2568"/>
      <c r="P20" s="2572"/>
      <c r="Q20" s="1749"/>
      <c r="R20" s="1749"/>
      <c r="S20" s="1749"/>
      <c r="T20" s="1749"/>
      <c r="U20" s="1749"/>
    </row>
    <row r="21" spans="1:21" ht="45" customHeight="1" thickBot="1">
      <c r="A21" s="779" t="s">
        <v>541</v>
      </c>
      <c r="B21" s="1747">
        <v>167</v>
      </c>
      <c r="C21" s="1747">
        <v>5</v>
      </c>
      <c r="D21" s="1938">
        <v>162</v>
      </c>
      <c r="E21" s="1747">
        <v>103</v>
      </c>
      <c r="F21" s="1748">
        <v>34020</v>
      </c>
      <c r="G21" s="1934" t="s">
        <v>464</v>
      </c>
      <c r="H21" s="1934" t="s">
        <v>464</v>
      </c>
      <c r="I21" s="1934" t="s">
        <v>464</v>
      </c>
      <c r="J21" s="1744"/>
      <c r="K21" s="1745"/>
      <c r="L21" s="1746">
        <v>47</v>
      </c>
      <c r="M21" s="1746">
        <v>7</v>
      </c>
      <c r="N21" s="1746" t="s">
        <v>464</v>
      </c>
      <c r="O21" s="2567">
        <v>128880</v>
      </c>
      <c r="P21" s="2571" t="s">
        <v>464</v>
      </c>
      <c r="Q21" s="1746" t="s">
        <v>464</v>
      </c>
      <c r="R21" s="1746" t="s">
        <v>464</v>
      </c>
      <c r="S21" s="1746" t="s">
        <v>464</v>
      </c>
      <c r="T21" s="1746" t="s">
        <v>464</v>
      </c>
      <c r="U21" s="1746" t="s">
        <v>464</v>
      </c>
    </row>
    <row r="22" spans="1:21" ht="45" customHeight="1">
      <c r="A22" s="778" t="s">
        <v>542</v>
      </c>
      <c r="B22" s="1935"/>
      <c r="C22" s="1935"/>
      <c r="D22" s="1939"/>
      <c r="E22" s="1935"/>
      <c r="F22" s="1940"/>
      <c r="G22" s="1941"/>
      <c r="H22" s="1747"/>
      <c r="I22" s="1747"/>
      <c r="J22" s="1747"/>
      <c r="K22" s="1748"/>
      <c r="L22" s="1749"/>
      <c r="M22" s="1749"/>
      <c r="N22" s="1749"/>
      <c r="O22" s="2568"/>
      <c r="P22" s="2572"/>
      <c r="Q22" s="1749"/>
      <c r="R22" s="1749"/>
      <c r="S22" s="1749"/>
      <c r="T22" s="1749"/>
      <c r="U22" s="1749"/>
    </row>
    <row r="23" spans="1:21" ht="45" customHeight="1" thickBot="1">
      <c r="A23" s="779" t="s">
        <v>543</v>
      </c>
      <c r="B23" s="1750">
        <v>151</v>
      </c>
      <c r="C23" s="1750">
        <v>10</v>
      </c>
      <c r="D23" s="1942">
        <v>141</v>
      </c>
      <c r="E23" s="1750">
        <v>97</v>
      </c>
      <c r="F23" s="1751">
        <v>29610</v>
      </c>
      <c r="G23" s="1934" t="s">
        <v>464</v>
      </c>
      <c r="H23" s="1934" t="s">
        <v>464</v>
      </c>
      <c r="I23" s="1934" t="s">
        <v>464</v>
      </c>
      <c r="J23" s="1744" t="s">
        <v>464</v>
      </c>
      <c r="K23" s="1745" t="s">
        <v>464</v>
      </c>
      <c r="L23" s="1746" t="s">
        <v>464</v>
      </c>
      <c r="M23" s="1746" t="s">
        <v>464</v>
      </c>
      <c r="N23" s="1746" t="s">
        <v>464</v>
      </c>
      <c r="O23" s="2567" t="s">
        <v>464</v>
      </c>
      <c r="P23" s="2571" t="s">
        <v>464</v>
      </c>
      <c r="Q23" s="1746" t="s">
        <v>464</v>
      </c>
      <c r="R23" s="1746" t="s">
        <v>464</v>
      </c>
      <c r="S23" s="1746" t="s">
        <v>464</v>
      </c>
      <c r="T23" s="1746" t="s">
        <v>464</v>
      </c>
      <c r="U23" s="1746" t="s">
        <v>464</v>
      </c>
    </row>
    <row r="24" spans="1:21" ht="45" customHeight="1">
      <c r="A24" s="778" t="s">
        <v>544</v>
      </c>
      <c r="B24" s="1747"/>
      <c r="C24" s="1747"/>
      <c r="D24" s="1938"/>
      <c r="E24" s="1747"/>
      <c r="F24" s="1748"/>
      <c r="G24" s="1941"/>
      <c r="H24" s="1747"/>
      <c r="I24" s="1747"/>
      <c r="J24" s="1747"/>
      <c r="K24" s="1748"/>
      <c r="L24" s="1749"/>
      <c r="M24" s="1749"/>
      <c r="N24" s="1749"/>
      <c r="O24" s="2568"/>
      <c r="P24" s="2572"/>
      <c r="Q24" s="1749"/>
      <c r="R24" s="1749"/>
      <c r="S24" s="1749"/>
      <c r="T24" s="1749"/>
      <c r="U24" s="1749"/>
    </row>
    <row r="25" spans="1:21" ht="45" customHeight="1" thickBot="1">
      <c r="A25" s="779" t="s">
        <v>1282</v>
      </c>
      <c r="B25" s="1747">
        <v>127</v>
      </c>
      <c r="C25" s="1747">
        <v>4</v>
      </c>
      <c r="D25" s="1938">
        <v>123</v>
      </c>
      <c r="E25" s="1747">
        <v>84</v>
      </c>
      <c r="F25" s="1748">
        <v>25830</v>
      </c>
      <c r="G25" s="1934" t="s">
        <v>464</v>
      </c>
      <c r="H25" s="1934" t="s">
        <v>464</v>
      </c>
      <c r="I25" s="1934" t="s">
        <v>464</v>
      </c>
      <c r="J25" s="1744" t="s">
        <v>464</v>
      </c>
      <c r="K25" s="1745" t="s">
        <v>464</v>
      </c>
      <c r="L25" s="1746" t="s">
        <v>464</v>
      </c>
      <c r="M25" s="1746" t="s">
        <v>464</v>
      </c>
      <c r="N25" s="1746" t="s">
        <v>464</v>
      </c>
      <c r="O25" s="2567" t="s">
        <v>464</v>
      </c>
      <c r="P25" s="2571" t="s">
        <v>464</v>
      </c>
      <c r="Q25" s="1746" t="s">
        <v>464</v>
      </c>
      <c r="R25" s="1746" t="s">
        <v>464</v>
      </c>
      <c r="S25" s="1746" t="s">
        <v>464</v>
      </c>
      <c r="T25" s="1746" t="s">
        <v>464</v>
      </c>
      <c r="U25" s="1746" t="s">
        <v>464</v>
      </c>
    </row>
    <row r="26" spans="1:21" ht="45" customHeight="1">
      <c r="A26" s="778" t="s">
        <v>545</v>
      </c>
      <c r="B26" s="1935"/>
      <c r="C26" s="1935"/>
      <c r="D26" s="1939"/>
      <c r="E26" s="1935"/>
      <c r="F26" s="1940"/>
      <c r="G26" s="1941"/>
      <c r="H26" s="1747"/>
      <c r="I26" s="1747"/>
      <c r="J26" s="1747"/>
      <c r="K26" s="1748"/>
      <c r="L26" s="1749"/>
      <c r="M26" s="1749"/>
      <c r="N26" s="1749"/>
      <c r="O26" s="2568"/>
      <c r="P26" s="2572"/>
      <c r="Q26" s="1749"/>
      <c r="R26" s="1749"/>
      <c r="S26" s="1749"/>
      <c r="T26" s="1749"/>
      <c r="U26" s="1749"/>
    </row>
    <row r="27" spans="1:21" ht="45" customHeight="1" thickBot="1">
      <c r="A27" s="779" t="s">
        <v>547</v>
      </c>
      <c r="B27" s="1750">
        <v>146</v>
      </c>
      <c r="C27" s="1750">
        <v>5</v>
      </c>
      <c r="D27" s="1942">
        <v>141</v>
      </c>
      <c r="E27" s="1750">
        <v>89</v>
      </c>
      <c r="F27" s="1751">
        <v>29610</v>
      </c>
      <c r="G27" s="1934" t="s">
        <v>464</v>
      </c>
      <c r="H27" s="1934" t="s">
        <v>464</v>
      </c>
      <c r="I27" s="1934" t="s">
        <v>464</v>
      </c>
      <c r="J27" s="1744"/>
      <c r="K27" s="1745" t="s">
        <v>464</v>
      </c>
      <c r="L27" s="1746" t="s">
        <v>464</v>
      </c>
      <c r="M27" s="1746" t="s">
        <v>464</v>
      </c>
      <c r="N27" s="1746" t="s">
        <v>464</v>
      </c>
      <c r="O27" s="2567" t="s">
        <v>464</v>
      </c>
      <c r="P27" s="2571" t="s">
        <v>464</v>
      </c>
      <c r="Q27" s="1746" t="s">
        <v>464</v>
      </c>
      <c r="R27" s="1746" t="s">
        <v>464</v>
      </c>
      <c r="S27" s="1746" t="s">
        <v>464</v>
      </c>
      <c r="T27" s="1746" t="s">
        <v>464</v>
      </c>
      <c r="U27" s="1746" t="s">
        <v>464</v>
      </c>
    </row>
    <row r="28" spans="1:21" ht="45" customHeight="1">
      <c r="A28" s="778" t="s">
        <v>548</v>
      </c>
      <c r="B28" s="1747"/>
      <c r="C28" s="1747"/>
      <c r="D28" s="1938"/>
      <c r="E28" s="1747"/>
      <c r="F28" s="1748"/>
      <c r="G28" s="1941"/>
      <c r="H28" s="1747"/>
      <c r="I28" s="1747"/>
      <c r="J28" s="1935"/>
      <c r="K28" s="1748"/>
      <c r="L28" s="1749"/>
      <c r="M28" s="1749"/>
      <c r="N28" s="1749"/>
      <c r="O28" s="2568"/>
      <c r="P28" s="2572"/>
      <c r="Q28" s="1749"/>
      <c r="R28" s="1749"/>
      <c r="S28" s="1749"/>
      <c r="T28" s="1749"/>
      <c r="U28" s="1749"/>
    </row>
    <row r="29" spans="1:21" ht="45" customHeight="1" thickBot="1">
      <c r="A29" s="779" t="s">
        <v>549</v>
      </c>
      <c r="B29" s="1750">
        <v>140</v>
      </c>
      <c r="C29" s="1750">
        <v>3</v>
      </c>
      <c r="D29" s="1942">
        <v>137</v>
      </c>
      <c r="E29" s="1750">
        <v>88</v>
      </c>
      <c r="F29" s="1751">
        <v>28770</v>
      </c>
      <c r="G29" s="1934" t="s">
        <v>464</v>
      </c>
      <c r="H29" s="1934" t="s">
        <v>464</v>
      </c>
      <c r="I29" s="1934" t="s">
        <v>464</v>
      </c>
      <c r="J29" s="1744" t="s">
        <v>464</v>
      </c>
      <c r="K29" s="1745" t="s">
        <v>464</v>
      </c>
      <c r="L29" s="1746" t="s">
        <v>464</v>
      </c>
      <c r="M29" s="1746" t="s">
        <v>464</v>
      </c>
      <c r="N29" s="1746" t="s">
        <v>464</v>
      </c>
      <c r="O29" s="2567" t="s">
        <v>464</v>
      </c>
      <c r="P29" s="2571" t="s">
        <v>464</v>
      </c>
      <c r="Q29" s="1746" t="s">
        <v>464</v>
      </c>
      <c r="R29" s="1746" t="s">
        <v>464</v>
      </c>
      <c r="S29" s="1746" t="s">
        <v>464</v>
      </c>
      <c r="T29" s="1746" t="s">
        <v>464</v>
      </c>
      <c r="U29" s="1746" t="s">
        <v>464</v>
      </c>
    </row>
    <row r="30" spans="1:21" ht="45" customHeight="1">
      <c r="A30" s="778" t="s">
        <v>550</v>
      </c>
      <c r="B30" s="1747"/>
      <c r="C30" s="1747"/>
      <c r="D30" s="1938"/>
      <c r="E30" s="1747"/>
      <c r="F30" s="1748"/>
      <c r="G30" s="1941"/>
      <c r="H30" s="1747"/>
      <c r="I30" s="1747"/>
      <c r="J30" s="1747"/>
      <c r="K30" s="1748"/>
      <c r="L30" s="1749"/>
      <c r="M30" s="1749"/>
      <c r="N30" s="1749"/>
      <c r="O30" s="2568"/>
      <c r="P30" s="2572"/>
      <c r="Q30" s="1749"/>
      <c r="R30" s="1749"/>
      <c r="S30" s="1749"/>
      <c r="T30" s="1749"/>
      <c r="U30" s="1749"/>
    </row>
    <row r="31" spans="1:21" ht="45" customHeight="1" thickBot="1">
      <c r="A31" s="779" t="s">
        <v>434</v>
      </c>
      <c r="B31" s="1750">
        <v>264</v>
      </c>
      <c r="C31" s="1750">
        <v>3</v>
      </c>
      <c r="D31" s="1942">
        <v>261</v>
      </c>
      <c r="E31" s="1750">
        <v>136</v>
      </c>
      <c r="F31" s="1751">
        <v>54810</v>
      </c>
      <c r="G31" s="1934" t="s">
        <v>464</v>
      </c>
      <c r="H31" s="1934" t="s">
        <v>464</v>
      </c>
      <c r="I31" s="1934" t="s">
        <v>464</v>
      </c>
      <c r="J31" s="1744" t="s">
        <v>464</v>
      </c>
      <c r="K31" s="1745" t="s">
        <v>464</v>
      </c>
      <c r="L31" s="1744" t="s">
        <v>464</v>
      </c>
      <c r="M31" s="1744" t="s">
        <v>464</v>
      </c>
      <c r="N31" s="1744" t="s">
        <v>464</v>
      </c>
      <c r="O31" s="2567" t="s">
        <v>464</v>
      </c>
      <c r="P31" s="2571" t="s">
        <v>464</v>
      </c>
      <c r="Q31" s="1744" t="s">
        <v>464</v>
      </c>
      <c r="R31" s="1744" t="s">
        <v>464</v>
      </c>
      <c r="S31" s="1744" t="s">
        <v>464</v>
      </c>
      <c r="T31" s="1744" t="s">
        <v>464</v>
      </c>
      <c r="U31" s="1744" t="s">
        <v>464</v>
      </c>
    </row>
    <row r="32" spans="1:21" ht="45" customHeight="1" thickBot="1">
      <c r="A32" s="780" t="s">
        <v>551</v>
      </c>
      <c r="B32" s="1752">
        <f>SUM(B8:B31)</f>
        <v>1785</v>
      </c>
      <c r="C32" s="1752">
        <f aca="true" t="shared" si="0" ref="C32:I32">SUM(C8:C31)</f>
        <v>59</v>
      </c>
      <c r="D32" s="1752">
        <f t="shared" si="0"/>
        <v>1726</v>
      </c>
      <c r="E32" s="1752">
        <f t="shared" si="0"/>
        <v>1138</v>
      </c>
      <c r="F32" s="1752">
        <f>SUM(F8:F31)</f>
        <v>362460</v>
      </c>
      <c r="G32" s="1752">
        <f t="shared" si="0"/>
        <v>47</v>
      </c>
      <c r="H32" s="1752">
        <f t="shared" si="0"/>
        <v>4</v>
      </c>
      <c r="I32" s="1752">
        <f t="shared" si="0"/>
        <v>0</v>
      </c>
      <c r="J32" s="1753" t="s">
        <v>464</v>
      </c>
      <c r="K32" s="1753" t="s">
        <v>464</v>
      </c>
      <c r="L32" s="1753">
        <f>SUM(L8:L31)</f>
        <v>81</v>
      </c>
      <c r="M32" s="1753">
        <f>SUM(M8:M31)</f>
        <v>24</v>
      </c>
      <c r="N32" s="1753">
        <f>SUM(N8:N31)</f>
        <v>0</v>
      </c>
      <c r="O32" s="2569">
        <f>SUM(O8:O31)</f>
        <v>205769</v>
      </c>
      <c r="P32" s="2569">
        <f>SUM(P8:P31)</f>
        <v>352</v>
      </c>
      <c r="Q32" s="1753" t="s">
        <v>464</v>
      </c>
      <c r="R32" s="1753" t="s">
        <v>464</v>
      </c>
      <c r="S32" s="1753" t="s">
        <v>464</v>
      </c>
      <c r="T32" s="1753" t="s">
        <v>464</v>
      </c>
      <c r="U32" s="1753" t="s">
        <v>464</v>
      </c>
    </row>
    <row r="33" spans="1:9" s="85" customFormat="1" ht="25.5" customHeight="1" thickTop="1">
      <c r="A33" s="85" t="s">
        <v>1463</v>
      </c>
      <c r="B33" s="1465"/>
      <c r="C33" s="1465"/>
      <c r="D33" s="1632" t="s">
        <v>1464</v>
      </c>
      <c r="E33" s="1465"/>
      <c r="F33" s="1465"/>
      <c r="G33" s="1465"/>
      <c r="H33" s="1465"/>
      <c r="I33" s="1465"/>
    </row>
    <row r="34" ht="25.5">
      <c r="I34" s="30"/>
    </row>
  </sheetData>
  <sheetProtection/>
  <mergeCells count="3">
    <mergeCell ref="G4:K4"/>
    <mergeCell ref="Q4:U4"/>
    <mergeCell ref="L4:P4"/>
  </mergeCells>
  <printOptions/>
  <pageMargins left="0.84" right="1" top="1" bottom="1" header="0.5" footer="0.5"/>
  <pageSetup horizontalDpi="300" verticalDpi="300" orientation="landscape" paperSize="9" scale="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72"/>
  <sheetViews>
    <sheetView zoomScale="60" zoomScaleNormal="60" zoomScalePageLayoutView="0" workbookViewId="0" topLeftCell="L23">
      <selection activeCell="AA23" sqref="N1:AA16384"/>
    </sheetView>
  </sheetViews>
  <sheetFormatPr defaultColWidth="10.28125" defaultRowHeight="12.75"/>
  <cols>
    <col min="1" max="1" width="24.57421875" style="87" customWidth="1"/>
    <col min="2" max="2" width="11.7109375" style="19" customWidth="1"/>
    <col min="3" max="3" width="14.57421875" style="19" customWidth="1"/>
    <col min="4" max="4" width="13.57421875" style="19" customWidth="1"/>
    <col min="5" max="5" width="14.140625" style="19" customWidth="1"/>
    <col min="6" max="6" width="19.00390625" style="19" customWidth="1"/>
    <col min="7" max="7" width="13.57421875" style="19" customWidth="1"/>
    <col min="8" max="8" width="17.8515625" style="19" customWidth="1"/>
    <col min="9" max="9" width="15.28125" style="19" customWidth="1"/>
    <col min="10" max="10" width="13.57421875" style="19" customWidth="1"/>
    <col min="11" max="11" width="17.8515625" style="19" customWidth="1"/>
    <col min="12" max="12" width="22.8515625" style="31" customWidth="1"/>
    <col min="13" max="13" width="9.7109375" style="19" customWidth="1"/>
    <col min="14" max="14" width="19.00390625" style="19" customWidth="1"/>
    <col min="15" max="15" width="11.7109375" style="19" customWidth="1"/>
    <col min="16" max="16" width="13.421875" style="19" customWidth="1"/>
    <col min="17" max="17" width="11.7109375" style="19" customWidth="1"/>
    <col min="18" max="18" width="13.140625" style="19" customWidth="1"/>
    <col min="19" max="19" width="15.00390625" style="19" customWidth="1"/>
    <col min="20" max="20" width="11.7109375" style="19" customWidth="1"/>
    <col min="21" max="21" width="14.8515625" style="19" customWidth="1"/>
    <col min="22" max="22" width="12.7109375" style="19" customWidth="1"/>
    <col min="23" max="23" width="14.57421875" style="19" customWidth="1"/>
    <col min="24" max="24" width="11.7109375" style="19" customWidth="1"/>
    <col min="25" max="25" width="15.28125" style="19" customWidth="1"/>
    <col min="26" max="33" width="11.7109375" style="19" customWidth="1"/>
    <col min="34" max="245" width="9.7109375" style="19" customWidth="1"/>
    <col min="246" max="16384" width="10.28125" style="19" customWidth="1"/>
  </cols>
  <sheetData>
    <row r="1" ht="25.5">
      <c r="A1" s="1465" t="s">
        <v>924</v>
      </c>
    </row>
    <row r="2" ht="24" thickBot="1"/>
    <row r="3" spans="1:11" ht="23.25">
      <c r="A3" s="2073"/>
      <c r="B3" s="1379" t="s">
        <v>925</v>
      </c>
      <c r="C3" s="2066"/>
      <c r="D3" s="2067"/>
      <c r="E3" s="1379" t="s">
        <v>926</v>
      </c>
      <c r="F3" s="2066"/>
      <c r="G3" s="2067"/>
      <c r="H3" s="1379" t="s">
        <v>927</v>
      </c>
      <c r="I3" s="2066"/>
      <c r="J3" s="2066"/>
      <c r="K3" s="60"/>
    </row>
    <row r="4" spans="1:11" ht="24" thickBot="1">
      <c r="A4" s="2074"/>
      <c r="B4" s="2068" t="s">
        <v>1577</v>
      </c>
      <c r="C4" s="2069"/>
      <c r="D4" s="2070"/>
      <c r="E4" s="2068" t="s">
        <v>1576</v>
      </c>
      <c r="F4" s="2069"/>
      <c r="G4" s="2070"/>
      <c r="H4" s="2068" t="s">
        <v>1578</v>
      </c>
      <c r="I4" s="2069"/>
      <c r="J4" s="2069"/>
      <c r="K4" s="1385"/>
    </row>
    <row r="5" spans="1:12" ht="23.25">
      <c r="A5" s="2074"/>
      <c r="B5" s="55" t="s">
        <v>928</v>
      </c>
      <c r="C5" s="55" t="s">
        <v>929</v>
      </c>
      <c r="D5" s="55" t="s">
        <v>930</v>
      </c>
      <c r="E5" s="55" t="s">
        <v>928</v>
      </c>
      <c r="F5" s="55" t="s">
        <v>929</v>
      </c>
      <c r="G5" s="55" t="s">
        <v>930</v>
      </c>
      <c r="H5" s="55" t="s">
        <v>928</v>
      </c>
      <c r="I5" s="55" t="s">
        <v>929</v>
      </c>
      <c r="J5" s="55" t="s">
        <v>930</v>
      </c>
      <c r="K5" s="1377" t="s">
        <v>874</v>
      </c>
      <c r="L5" s="31" t="s">
        <v>223</v>
      </c>
    </row>
    <row r="6" spans="1:11" ht="23.25">
      <c r="A6" s="2074"/>
      <c r="B6" s="41" t="s">
        <v>931</v>
      </c>
      <c r="C6" s="41" t="s">
        <v>932</v>
      </c>
      <c r="D6" s="41" t="s">
        <v>933</v>
      </c>
      <c r="E6" s="41" t="s">
        <v>868</v>
      </c>
      <c r="F6" s="41" t="s">
        <v>932</v>
      </c>
      <c r="G6" s="41" t="s">
        <v>933</v>
      </c>
      <c r="H6" s="41" t="s">
        <v>934</v>
      </c>
      <c r="I6" s="41" t="s">
        <v>932</v>
      </c>
      <c r="J6" s="41" t="s">
        <v>933</v>
      </c>
      <c r="K6" s="1387" t="s">
        <v>935</v>
      </c>
    </row>
    <row r="7" spans="1:11" ht="24" thickBot="1">
      <c r="A7" s="2075"/>
      <c r="B7" s="21" t="s">
        <v>896</v>
      </c>
      <c r="C7" s="21" t="s">
        <v>936</v>
      </c>
      <c r="D7" s="21" t="s">
        <v>936</v>
      </c>
      <c r="E7" s="21" t="s">
        <v>896</v>
      </c>
      <c r="F7" s="21" t="s">
        <v>936</v>
      </c>
      <c r="G7" s="21" t="s">
        <v>936</v>
      </c>
      <c r="H7" s="21" t="s">
        <v>896</v>
      </c>
      <c r="I7" s="21" t="s">
        <v>936</v>
      </c>
      <c r="J7" s="21" t="s">
        <v>936</v>
      </c>
      <c r="K7" s="1626" t="s">
        <v>937</v>
      </c>
    </row>
    <row r="8" spans="1:11" ht="23.25" thickBot="1">
      <c r="A8" s="2076" t="s">
        <v>938</v>
      </c>
      <c r="B8" s="2063">
        <v>0.706</v>
      </c>
      <c r="C8" s="2790">
        <v>5300</v>
      </c>
      <c r="D8" s="2791">
        <v>235</v>
      </c>
      <c r="E8" s="2063">
        <v>1.15</v>
      </c>
      <c r="F8" s="2064">
        <v>67</v>
      </c>
      <c r="G8" s="2063">
        <v>19.7</v>
      </c>
      <c r="H8" s="2063">
        <v>1.29</v>
      </c>
      <c r="I8" s="2064">
        <v>80</v>
      </c>
      <c r="J8" s="2064">
        <v>16</v>
      </c>
      <c r="K8" s="2065">
        <v>1.23</v>
      </c>
    </row>
    <row r="9" spans="1:11" ht="22.5">
      <c r="A9" s="1268"/>
      <c r="B9" s="1396"/>
      <c r="C9" s="49"/>
      <c r="D9" s="1397"/>
      <c r="E9" s="1396"/>
      <c r="F9" s="49"/>
      <c r="G9" s="1396"/>
      <c r="H9" s="1396"/>
      <c r="I9" s="49"/>
      <c r="J9" s="49"/>
      <c r="K9" s="1398"/>
    </row>
    <row r="11" ht="25.5">
      <c r="A11" s="1465" t="s">
        <v>939</v>
      </c>
    </row>
    <row r="12" ht="24" thickBot="1"/>
    <row r="13" spans="1:12" ht="22.5">
      <c r="A13" s="2077" t="s">
        <v>940</v>
      </c>
      <c r="B13" s="1379" t="s">
        <v>710</v>
      </c>
      <c r="C13" s="758"/>
      <c r="D13" s="1379" t="s">
        <v>941</v>
      </c>
      <c r="E13" s="758"/>
      <c r="F13" s="2085" t="s">
        <v>1636</v>
      </c>
      <c r="L13" s="97"/>
    </row>
    <row r="14" spans="1:12" ht="23.25">
      <c r="A14" s="2078"/>
      <c r="B14" s="2909" t="s">
        <v>1296</v>
      </c>
      <c r="C14" s="2909"/>
      <c r="D14" s="2082" t="s">
        <v>943</v>
      </c>
      <c r="E14" s="2083"/>
      <c r="F14" s="1387" t="s">
        <v>480</v>
      </c>
      <c r="L14" s="97"/>
    </row>
    <row r="15" spans="1:12" ht="24" thickBot="1">
      <c r="A15" s="2079" t="s">
        <v>942</v>
      </c>
      <c r="B15" s="2909"/>
      <c r="C15" s="2909"/>
      <c r="D15" s="2084" t="s">
        <v>1297</v>
      </c>
      <c r="E15" s="1384"/>
      <c r="F15" s="57"/>
      <c r="L15" s="97"/>
    </row>
    <row r="16" spans="1:6" ht="21.75" customHeight="1">
      <c r="A16" s="2049" t="s">
        <v>944</v>
      </c>
      <c r="B16" s="2050"/>
      <c r="C16" s="2051">
        <v>32251</v>
      </c>
      <c r="D16" s="2050"/>
      <c r="E16" s="2052">
        <v>1500</v>
      </c>
      <c r="F16" s="2053">
        <f>SUM(C16+E16)</f>
        <v>33751</v>
      </c>
    </row>
    <row r="17" spans="1:6" ht="21.75" customHeight="1">
      <c r="A17" s="559" t="s">
        <v>946</v>
      </c>
      <c r="B17" s="1263"/>
      <c r="C17" s="2054">
        <v>1801.44</v>
      </c>
      <c r="D17" s="1263"/>
      <c r="E17" s="2055" t="s">
        <v>464</v>
      </c>
      <c r="F17" s="2056">
        <f>SUM(C17:E17)</f>
        <v>1801.44</v>
      </c>
    </row>
    <row r="18" spans="1:6" ht="21.75" customHeight="1">
      <c r="A18" s="559" t="s">
        <v>947</v>
      </c>
      <c r="B18" s="1263"/>
      <c r="C18" s="2054">
        <v>1131</v>
      </c>
      <c r="D18" s="1263"/>
      <c r="E18" s="2057">
        <v>33519</v>
      </c>
      <c r="F18" s="2056">
        <f aca="true" t="shared" si="0" ref="F18:F27">SUM(C18:E18)</f>
        <v>34650</v>
      </c>
    </row>
    <row r="19" spans="1:6" ht="21.75" customHeight="1">
      <c r="A19" s="559" t="s">
        <v>948</v>
      </c>
      <c r="B19" s="1263"/>
      <c r="C19" s="2054"/>
      <c r="D19" s="1263"/>
      <c r="E19" s="2057"/>
      <c r="F19" s="2056">
        <f t="shared" si="0"/>
        <v>0</v>
      </c>
    </row>
    <row r="20" spans="1:6" ht="21.75" customHeight="1">
      <c r="A20" s="559" t="s">
        <v>949</v>
      </c>
      <c r="B20" s="1263"/>
      <c r="C20" s="2054">
        <v>8200</v>
      </c>
      <c r="D20" s="1263"/>
      <c r="E20" s="2055" t="s">
        <v>464</v>
      </c>
      <c r="F20" s="2056">
        <f t="shared" si="0"/>
        <v>8200</v>
      </c>
    </row>
    <row r="21" spans="1:6" ht="21.75" customHeight="1">
      <c r="A21" s="559" t="s">
        <v>950</v>
      </c>
      <c r="B21" s="1263"/>
      <c r="C21" s="2058"/>
      <c r="D21" s="1263"/>
      <c r="E21" s="2059" t="s">
        <v>464</v>
      </c>
      <c r="F21" s="2056">
        <f t="shared" si="0"/>
        <v>0</v>
      </c>
    </row>
    <row r="22" spans="1:6" ht="21.75" customHeight="1">
      <c r="A22" s="559" t="s">
        <v>951</v>
      </c>
      <c r="B22" s="1263"/>
      <c r="C22" s="2054">
        <v>6150</v>
      </c>
      <c r="D22" s="1263"/>
      <c r="E22" s="2055"/>
      <c r="F22" s="2056">
        <f t="shared" si="0"/>
        <v>6150</v>
      </c>
    </row>
    <row r="23" spans="1:6" ht="21.75" customHeight="1">
      <c r="A23" s="559" t="s">
        <v>1528</v>
      </c>
      <c r="B23" s="1263"/>
      <c r="C23" s="2054"/>
      <c r="D23" s="1263"/>
      <c r="E23" s="2059"/>
      <c r="F23" s="2056">
        <f t="shared" si="0"/>
        <v>0</v>
      </c>
    </row>
    <row r="24" spans="1:6" ht="21.75" customHeight="1">
      <c r="A24" s="559" t="s">
        <v>952</v>
      </c>
      <c r="B24" s="1263"/>
      <c r="C24" s="2054">
        <v>9751</v>
      </c>
      <c r="D24" s="1263"/>
      <c r="E24" s="2059">
        <v>1128</v>
      </c>
      <c r="F24" s="2056">
        <f t="shared" si="0"/>
        <v>10879</v>
      </c>
    </row>
    <row r="25" spans="1:6" ht="21.75" customHeight="1">
      <c r="A25" s="559" t="s">
        <v>953</v>
      </c>
      <c r="B25" s="1263"/>
      <c r="C25" s="2054">
        <v>3848</v>
      </c>
      <c r="D25" s="1263"/>
      <c r="E25" s="2408">
        <v>5241.82</v>
      </c>
      <c r="F25" s="2056">
        <f t="shared" si="0"/>
        <v>9089.82</v>
      </c>
    </row>
    <row r="26" spans="1:6" ht="21.75" customHeight="1">
      <c r="A26" s="559" t="s">
        <v>954</v>
      </c>
      <c r="B26" s="1263"/>
      <c r="C26" s="2054">
        <v>3600</v>
      </c>
      <c r="D26" s="1263"/>
      <c r="E26" s="2059" t="s">
        <v>464</v>
      </c>
      <c r="F26" s="2056">
        <f t="shared" si="0"/>
        <v>3600</v>
      </c>
    </row>
    <row r="27" spans="1:6" ht="21.75" customHeight="1">
      <c r="A27" s="559" t="s">
        <v>1529</v>
      </c>
      <c r="B27" s="1263"/>
      <c r="C27" s="2054">
        <v>2500</v>
      </c>
      <c r="D27" s="1263"/>
      <c r="E27" s="2059"/>
      <c r="F27" s="2056">
        <f t="shared" si="0"/>
        <v>2500</v>
      </c>
    </row>
    <row r="28" spans="1:6" ht="21.75" customHeight="1" thickBot="1">
      <c r="A28" s="559" t="s">
        <v>1298</v>
      </c>
      <c r="B28" s="1263"/>
      <c r="C28" s="2054">
        <v>6155</v>
      </c>
      <c r="D28" s="1263"/>
      <c r="E28" s="2057"/>
      <c r="F28" s="2056">
        <f>SUM(C28+E28)</f>
        <v>6155</v>
      </c>
    </row>
    <row r="29" spans="1:6" ht="21.75" customHeight="1" thickBot="1">
      <c r="A29" s="1243" t="s">
        <v>476</v>
      </c>
      <c r="B29" s="2060"/>
      <c r="C29" s="2061">
        <f>SUM(C16:C28)</f>
        <v>75387.44</v>
      </c>
      <c r="D29" s="2060"/>
      <c r="E29" s="2062">
        <f>SUM(E16:E28)</f>
        <v>41388.82</v>
      </c>
      <c r="F29" s="2062">
        <f>SUM(F16:F28)</f>
        <v>116776.26000000001</v>
      </c>
    </row>
    <row r="30" spans="1:6" ht="22.5">
      <c r="A30" s="1268"/>
      <c r="B30" s="708"/>
      <c r="C30" s="1399"/>
      <c r="D30" s="43"/>
      <c r="E30" s="1399"/>
      <c r="F30" s="1399"/>
    </row>
    <row r="32" ht="25.5">
      <c r="A32" s="1465" t="s">
        <v>955</v>
      </c>
    </row>
    <row r="33" ht="24" thickBot="1">
      <c r="P33" s="59"/>
    </row>
    <row r="34" spans="1:12" ht="18.75" customHeight="1">
      <c r="A34" s="2080"/>
      <c r="B34" s="2910" t="s">
        <v>1503</v>
      </c>
      <c r="C34" s="2911"/>
      <c r="D34" s="2910" t="s">
        <v>1502</v>
      </c>
      <c r="E34" s="2911"/>
      <c r="F34" s="2910" t="s">
        <v>1501</v>
      </c>
      <c r="G34" s="2911"/>
      <c r="H34" s="1376" t="s">
        <v>472</v>
      </c>
      <c r="I34" s="2914" t="s">
        <v>1500</v>
      </c>
      <c r="J34" s="2914"/>
      <c r="K34" s="1376" t="s">
        <v>956</v>
      </c>
      <c r="L34" s="2071"/>
    </row>
    <row r="35" spans="1:26" ht="23.25" thickBot="1">
      <c r="A35" s="2072" t="s">
        <v>566</v>
      </c>
      <c r="B35" s="2912"/>
      <c r="C35" s="2913"/>
      <c r="D35" s="2912"/>
      <c r="E35" s="2913"/>
      <c r="F35" s="2912"/>
      <c r="G35" s="2913"/>
      <c r="H35" s="1377" t="s">
        <v>577</v>
      </c>
      <c r="I35" s="2914"/>
      <c r="J35" s="2914"/>
      <c r="K35" s="1377" t="s">
        <v>957</v>
      </c>
      <c r="L35" s="1383" t="s">
        <v>570</v>
      </c>
      <c r="O35" s="2914"/>
      <c r="P35" s="2914"/>
      <c r="Q35" s="2914"/>
      <c r="R35" s="2914"/>
      <c r="S35" s="2914"/>
      <c r="T35" s="2914"/>
      <c r="U35" s="2914"/>
      <c r="V35" s="2914"/>
      <c r="W35" s="2914"/>
      <c r="X35" s="2914"/>
      <c r="Y35" s="2914"/>
      <c r="Z35" s="2914"/>
    </row>
    <row r="36" spans="1:26" ht="23.25" thickBot="1">
      <c r="A36" s="2072" t="s">
        <v>571</v>
      </c>
      <c r="B36" s="1386" t="s">
        <v>675</v>
      </c>
      <c r="C36" s="1386" t="s">
        <v>577</v>
      </c>
      <c r="D36" s="1386" t="s">
        <v>675</v>
      </c>
      <c r="E36" s="1386" t="s">
        <v>577</v>
      </c>
      <c r="F36" s="1386" t="s">
        <v>675</v>
      </c>
      <c r="G36" s="1386" t="s">
        <v>577</v>
      </c>
      <c r="H36" s="1387" t="s">
        <v>480</v>
      </c>
      <c r="I36" s="1386" t="s">
        <v>675</v>
      </c>
      <c r="J36" s="1386" t="s">
        <v>577</v>
      </c>
      <c r="K36" s="1387" t="s">
        <v>959</v>
      </c>
      <c r="L36" s="1383" t="s">
        <v>575</v>
      </c>
      <c r="O36" s="63"/>
      <c r="P36" s="119"/>
      <c r="Q36" s="120"/>
      <c r="R36" s="121"/>
      <c r="T36" s="98"/>
      <c r="V36" s="98"/>
      <c r="X36" s="98"/>
      <c r="Z36" s="98"/>
    </row>
    <row r="37" spans="1:26" ht="18.75" customHeight="1" thickBot="1">
      <c r="A37" s="2072"/>
      <c r="B37" s="1387" t="s">
        <v>676</v>
      </c>
      <c r="C37" s="1387" t="s">
        <v>958</v>
      </c>
      <c r="D37" s="1387" t="s">
        <v>676</v>
      </c>
      <c r="E37" s="1387" t="s">
        <v>958</v>
      </c>
      <c r="F37" s="1387" t="s">
        <v>676</v>
      </c>
      <c r="G37" s="1387" t="s">
        <v>958</v>
      </c>
      <c r="H37" s="1387" t="s">
        <v>577</v>
      </c>
      <c r="I37" s="1387" t="s">
        <v>676</v>
      </c>
      <c r="J37" s="1387" t="s">
        <v>958</v>
      </c>
      <c r="K37" s="1387" t="s">
        <v>960</v>
      </c>
      <c r="L37" s="1387"/>
      <c r="O37" s="2125"/>
      <c r="P37" s="129"/>
      <c r="Q37" s="2125"/>
      <c r="R37" s="129"/>
      <c r="S37" s="2125"/>
      <c r="T37" s="129"/>
      <c r="U37" s="2125"/>
      <c r="V37" s="129"/>
      <c r="W37" s="2125"/>
      <c r="X37" s="129"/>
      <c r="Y37" s="2125"/>
      <c r="Z37" s="129"/>
    </row>
    <row r="38" spans="1:26" s="30" customFormat="1" ht="24" thickBot="1">
      <c r="A38" s="2081" t="s">
        <v>938</v>
      </c>
      <c r="B38" s="1243">
        <f aca="true" t="shared" si="1" ref="B38:G38">SUM(B39+B44+B51+B57+B61)</f>
        <v>16783</v>
      </c>
      <c r="C38" s="1245">
        <f t="shared" si="1"/>
        <v>3944</v>
      </c>
      <c r="D38" s="1243">
        <f t="shared" si="1"/>
        <v>187483</v>
      </c>
      <c r="E38" s="1245">
        <f t="shared" si="1"/>
        <v>3693</v>
      </c>
      <c r="F38" s="1243">
        <f t="shared" si="1"/>
        <v>44681</v>
      </c>
      <c r="G38" s="1245">
        <f t="shared" si="1"/>
        <v>715</v>
      </c>
      <c r="H38" s="1672">
        <f>SUM(C38+E38+G38)</f>
        <v>8352</v>
      </c>
      <c r="I38" s="2422">
        <v>7526339</v>
      </c>
      <c r="J38" s="2423">
        <v>11361</v>
      </c>
      <c r="K38" s="1673">
        <f>SUM(H38+J38)</f>
        <v>19713</v>
      </c>
      <c r="L38" s="110" t="s">
        <v>579</v>
      </c>
      <c r="N38" s="835"/>
      <c r="O38" s="2130"/>
      <c r="P38" s="113"/>
      <c r="Q38" s="2130"/>
      <c r="R38" s="123"/>
      <c r="S38" s="2133"/>
      <c r="T38" s="113"/>
      <c r="U38" s="2133"/>
      <c r="V38" s="113"/>
      <c r="W38" s="2133"/>
      <c r="X38" s="113"/>
      <c r="Y38" s="2133"/>
      <c r="Z38" s="113"/>
    </row>
    <row r="39" spans="1:26" s="30" customFormat="1" ht="24" customHeight="1">
      <c r="A39" s="412" t="s">
        <v>580</v>
      </c>
      <c r="B39" s="1674">
        <f aca="true" t="shared" si="2" ref="B39:G39">SUM(B40:B42)</f>
        <v>6886</v>
      </c>
      <c r="C39" s="1675">
        <f t="shared" si="2"/>
        <v>1616</v>
      </c>
      <c r="D39" s="1675">
        <f t="shared" si="2"/>
        <v>33418</v>
      </c>
      <c r="E39" s="1675">
        <f t="shared" si="2"/>
        <v>658</v>
      </c>
      <c r="F39" s="1675">
        <f t="shared" si="2"/>
        <v>9347</v>
      </c>
      <c r="G39" s="1676">
        <f t="shared" si="2"/>
        <v>149</v>
      </c>
      <c r="H39" s="1677">
        <f aca="true" t="shared" si="3" ref="H39:H64">SUM(C39+E39+G39)</f>
        <v>2423</v>
      </c>
      <c r="I39" s="1678" t="s">
        <v>852</v>
      </c>
      <c r="J39" s="1679" t="s">
        <v>852</v>
      </c>
      <c r="K39" s="1679" t="s">
        <v>852</v>
      </c>
      <c r="L39" s="1687" t="s">
        <v>581</v>
      </c>
      <c r="N39" s="840"/>
      <c r="O39" s="2137"/>
      <c r="P39" s="114"/>
      <c r="Q39" s="2137"/>
      <c r="R39" s="124"/>
      <c r="S39" s="2137"/>
      <c r="T39" s="124"/>
      <c r="U39" s="2137"/>
      <c r="V39" s="124"/>
      <c r="W39" s="2137"/>
      <c r="X39" s="124"/>
      <c r="Y39" s="2137"/>
      <c r="Z39" s="124"/>
    </row>
    <row r="40" spans="1:26" ht="24" customHeight="1">
      <c r="A40" s="413" t="s">
        <v>582</v>
      </c>
      <c r="B40" s="1252">
        <v>1139</v>
      </c>
      <c r="C40" s="1261">
        <v>268</v>
      </c>
      <c r="D40" s="1261">
        <v>7736</v>
      </c>
      <c r="E40" s="1261">
        <v>152</v>
      </c>
      <c r="F40" s="1261">
        <v>2974</v>
      </c>
      <c r="G40" s="1262">
        <v>48</v>
      </c>
      <c r="H40" s="1680">
        <f t="shared" si="3"/>
        <v>468</v>
      </c>
      <c r="I40" s="1254" t="s">
        <v>852</v>
      </c>
      <c r="J40" s="1681" t="s">
        <v>852</v>
      </c>
      <c r="K40" s="1681" t="s">
        <v>852</v>
      </c>
      <c r="L40" s="1688" t="s">
        <v>583</v>
      </c>
      <c r="N40" s="844"/>
      <c r="O40" s="2141"/>
      <c r="P40" s="115"/>
      <c r="Q40" s="2141"/>
      <c r="R40" s="112"/>
      <c r="S40" s="2141"/>
      <c r="T40" s="112"/>
      <c r="U40" s="2141"/>
      <c r="V40" s="112"/>
      <c r="W40" s="2141"/>
      <c r="X40" s="112"/>
      <c r="Y40" s="2141"/>
      <c r="Z40" s="112"/>
    </row>
    <row r="41" spans="1:26" ht="24" customHeight="1">
      <c r="A41" s="413" t="s">
        <v>584</v>
      </c>
      <c r="B41" s="1252">
        <v>2311</v>
      </c>
      <c r="C41" s="1261">
        <v>542</v>
      </c>
      <c r="D41" s="1261">
        <v>11813</v>
      </c>
      <c r="E41" s="1261">
        <v>233</v>
      </c>
      <c r="F41" s="1261">
        <v>3696</v>
      </c>
      <c r="G41" s="1262">
        <v>58</v>
      </c>
      <c r="H41" s="1680">
        <f t="shared" si="3"/>
        <v>833</v>
      </c>
      <c r="I41" s="1254" t="s">
        <v>852</v>
      </c>
      <c r="J41" s="1681" t="s">
        <v>852</v>
      </c>
      <c r="K41" s="1681" t="s">
        <v>852</v>
      </c>
      <c r="L41" s="1688" t="s">
        <v>584</v>
      </c>
      <c r="N41" s="844"/>
      <c r="O41" s="2141"/>
      <c r="P41" s="115"/>
      <c r="Q41" s="2141"/>
      <c r="R41" s="112"/>
      <c r="S41" s="2141"/>
      <c r="T41" s="112"/>
      <c r="U41" s="2141"/>
      <c r="V41" s="112"/>
      <c r="W41" s="2141"/>
      <c r="X41" s="112"/>
      <c r="Y41" s="2141"/>
      <c r="Z41" s="112"/>
    </row>
    <row r="42" spans="1:26" ht="24" customHeight="1">
      <c r="A42" s="413" t="s">
        <v>585</v>
      </c>
      <c r="B42" s="1252">
        <v>3436</v>
      </c>
      <c r="C42" s="1261">
        <v>806</v>
      </c>
      <c r="D42" s="1261">
        <v>13869</v>
      </c>
      <c r="E42" s="1261">
        <v>273</v>
      </c>
      <c r="F42" s="1261">
        <v>2677</v>
      </c>
      <c r="G42" s="1262">
        <v>43</v>
      </c>
      <c r="H42" s="1680">
        <f t="shared" si="3"/>
        <v>1122</v>
      </c>
      <c r="I42" s="1254" t="s">
        <v>852</v>
      </c>
      <c r="J42" s="1681" t="s">
        <v>852</v>
      </c>
      <c r="K42" s="1681" t="s">
        <v>852</v>
      </c>
      <c r="L42" s="1688" t="s">
        <v>585</v>
      </c>
      <c r="N42" s="844"/>
      <c r="O42" s="2141"/>
      <c r="P42" s="115"/>
      <c r="Q42" s="2141"/>
      <c r="R42" s="112"/>
      <c r="S42" s="2141"/>
      <c r="T42" s="112"/>
      <c r="U42" s="2141"/>
      <c r="V42" s="112"/>
      <c r="W42" s="2141"/>
      <c r="X42" s="112"/>
      <c r="Y42" s="2141"/>
      <c r="Z42" s="112"/>
    </row>
    <row r="43" spans="1:26" ht="24" customHeight="1">
      <c r="A43" s="413"/>
      <c r="B43" s="1252"/>
      <c r="C43" s="1261"/>
      <c r="D43" s="1261"/>
      <c r="E43" s="1261"/>
      <c r="F43" s="1261"/>
      <c r="G43" s="1262"/>
      <c r="H43" s="1680"/>
      <c r="I43" s="1254"/>
      <c r="J43" s="1681"/>
      <c r="K43" s="1681"/>
      <c r="L43" s="1688"/>
      <c r="N43" s="844"/>
      <c r="O43" s="2141"/>
      <c r="P43" s="115"/>
      <c r="Q43" s="2141"/>
      <c r="R43" s="112"/>
      <c r="S43" s="2141"/>
      <c r="T43" s="112"/>
      <c r="U43" s="2141"/>
      <c r="V43" s="112"/>
      <c r="W43" s="2141"/>
      <c r="X43" s="112"/>
      <c r="Y43" s="2141"/>
      <c r="Z43" s="112"/>
    </row>
    <row r="44" spans="1:26" ht="24" customHeight="1">
      <c r="A44" s="414" t="s">
        <v>588</v>
      </c>
      <c r="B44" s="1255">
        <f aca="true" t="shared" si="4" ref="B44:G44">SUM(B45:B49)</f>
        <v>5300</v>
      </c>
      <c r="C44" s="1268">
        <f t="shared" si="4"/>
        <v>1247</v>
      </c>
      <c r="D44" s="1268">
        <f t="shared" si="4"/>
        <v>56819</v>
      </c>
      <c r="E44" s="1268">
        <f t="shared" si="4"/>
        <v>1119</v>
      </c>
      <c r="F44" s="1268">
        <f t="shared" si="4"/>
        <v>10528</v>
      </c>
      <c r="G44" s="1269">
        <f t="shared" si="4"/>
        <v>168</v>
      </c>
      <c r="H44" s="1680">
        <f t="shared" si="3"/>
        <v>2534</v>
      </c>
      <c r="I44" s="1257" t="s">
        <v>852</v>
      </c>
      <c r="J44" s="1682" t="s">
        <v>852</v>
      </c>
      <c r="K44" s="1682" t="s">
        <v>852</v>
      </c>
      <c r="L44" s="1689" t="s">
        <v>589</v>
      </c>
      <c r="N44" s="844"/>
      <c r="O44" s="2141"/>
      <c r="P44" s="115"/>
      <c r="Q44" s="2141"/>
      <c r="R44" s="112"/>
      <c r="S44" s="2141"/>
      <c r="T44" s="112"/>
      <c r="U44" s="2141"/>
      <c r="V44" s="112"/>
      <c r="W44" s="2141"/>
      <c r="X44" s="112"/>
      <c r="Y44" s="2141"/>
      <c r="Z44" s="112"/>
    </row>
    <row r="45" spans="1:26" ht="24" customHeight="1">
      <c r="A45" s="413" t="s">
        <v>590</v>
      </c>
      <c r="B45" s="1252">
        <v>594</v>
      </c>
      <c r="C45" s="1261">
        <v>140</v>
      </c>
      <c r="D45" s="1261">
        <v>13118</v>
      </c>
      <c r="E45" s="1261">
        <v>258</v>
      </c>
      <c r="F45" s="1261">
        <v>2393</v>
      </c>
      <c r="G45" s="1262">
        <v>38</v>
      </c>
      <c r="H45" s="1680">
        <f t="shared" si="3"/>
        <v>436</v>
      </c>
      <c r="I45" s="1254" t="s">
        <v>852</v>
      </c>
      <c r="J45" s="1681" t="s">
        <v>852</v>
      </c>
      <c r="K45" s="1681" t="s">
        <v>852</v>
      </c>
      <c r="L45" s="1688" t="s">
        <v>591</v>
      </c>
      <c r="N45" s="844"/>
      <c r="O45" s="2141"/>
      <c r="P45" s="117"/>
      <c r="Q45" s="2141"/>
      <c r="R45" s="125"/>
      <c r="S45" s="2141"/>
      <c r="T45" s="116"/>
      <c r="U45" s="2141"/>
      <c r="V45" s="116"/>
      <c r="W45" s="2141"/>
      <c r="X45" s="116"/>
      <c r="Y45" s="2141"/>
      <c r="Z45" s="116"/>
    </row>
    <row r="46" spans="1:26" s="30" customFormat="1" ht="24" customHeight="1">
      <c r="A46" s="413" t="s">
        <v>592</v>
      </c>
      <c r="B46" s="1252">
        <v>394</v>
      </c>
      <c r="C46" s="1261">
        <v>93</v>
      </c>
      <c r="D46" s="1261">
        <v>9280</v>
      </c>
      <c r="E46" s="1261">
        <v>183</v>
      </c>
      <c r="F46" s="1566">
        <v>746</v>
      </c>
      <c r="G46" s="2421">
        <v>12</v>
      </c>
      <c r="H46" s="1680">
        <f t="shared" si="3"/>
        <v>288</v>
      </c>
      <c r="I46" s="1254" t="s">
        <v>852</v>
      </c>
      <c r="J46" s="1681" t="s">
        <v>852</v>
      </c>
      <c r="K46" s="1681" t="s">
        <v>852</v>
      </c>
      <c r="L46" s="1688" t="s">
        <v>593</v>
      </c>
      <c r="N46" s="847"/>
      <c r="O46" s="2137"/>
      <c r="P46" s="118"/>
      <c r="Q46" s="2137"/>
      <c r="R46" s="126"/>
      <c r="S46" s="2137"/>
      <c r="T46" s="126"/>
      <c r="U46" s="2137"/>
      <c r="V46" s="126"/>
      <c r="W46" s="2137"/>
      <c r="X46" s="126"/>
      <c r="Y46" s="2137"/>
      <c r="Z46" s="126"/>
    </row>
    <row r="47" spans="1:26" ht="24" customHeight="1">
      <c r="A47" s="413" t="s">
        <v>594</v>
      </c>
      <c r="B47" s="1252">
        <v>2974</v>
      </c>
      <c r="C47" s="1261">
        <v>699</v>
      </c>
      <c r="D47" s="1261">
        <v>21212</v>
      </c>
      <c r="E47" s="1261">
        <v>418</v>
      </c>
      <c r="F47" s="1261">
        <v>3255</v>
      </c>
      <c r="G47" s="1262">
        <v>52</v>
      </c>
      <c r="H47" s="1680">
        <f t="shared" si="3"/>
        <v>1169</v>
      </c>
      <c r="I47" s="1254" t="s">
        <v>852</v>
      </c>
      <c r="J47" s="1681" t="s">
        <v>852</v>
      </c>
      <c r="K47" s="1681" t="s">
        <v>852</v>
      </c>
      <c r="L47" s="1688" t="s">
        <v>594</v>
      </c>
      <c r="N47" s="844"/>
      <c r="O47" s="2141"/>
      <c r="P47" s="115"/>
      <c r="Q47" s="2141"/>
      <c r="R47" s="112"/>
      <c r="S47" s="2141"/>
      <c r="T47" s="112"/>
      <c r="U47" s="2141"/>
      <c r="V47" s="112"/>
      <c r="W47" s="2141"/>
      <c r="X47" s="112"/>
      <c r="Y47" s="2141"/>
      <c r="Z47" s="112"/>
    </row>
    <row r="48" spans="1:26" ht="24" customHeight="1">
      <c r="A48" s="413" t="s">
        <v>599</v>
      </c>
      <c r="B48" s="1252">
        <v>731</v>
      </c>
      <c r="C48" s="1261">
        <v>172</v>
      </c>
      <c r="D48" s="1261">
        <v>8138</v>
      </c>
      <c r="E48" s="1261">
        <v>160</v>
      </c>
      <c r="F48" s="1261">
        <v>2379</v>
      </c>
      <c r="G48" s="1262">
        <v>38</v>
      </c>
      <c r="H48" s="1680">
        <f t="shared" si="3"/>
        <v>370</v>
      </c>
      <c r="I48" s="1254" t="s">
        <v>852</v>
      </c>
      <c r="J48" s="1681" t="s">
        <v>852</v>
      </c>
      <c r="K48" s="1681" t="s">
        <v>852</v>
      </c>
      <c r="L48" s="1688" t="s">
        <v>599</v>
      </c>
      <c r="N48" s="844"/>
      <c r="O48" s="2141"/>
      <c r="P48" s="115"/>
      <c r="Q48" s="2141"/>
      <c r="R48" s="112"/>
      <c r="S48" s="2141"/>
      <c r="T48" s="112"/>
      <c r="U48" s="2141"/>
      <c r="V48" s="112"/>
      <c r="W48" s="2141"/>
      <c r="X48" s="112"/>
      <c r="Y48" s="2141"/>
      <c r="Z48" s="112"/>
    </row>
    <row r="49" spans="1:26" ht="24" customHeight="1">
      <c r="A49" s="413" t="s">
        <v>598</v>
      </c>
      <c r="B49" s="1252">
        <v>607</v>
      </c>
      <c r="C49" s="1261">
        <v>143</v>
      </c>
      <c r="D49" s="1261">
        <v>5071</v>
      </c>
      <c r="E49" s="1261">
        <v>100</v>
      </c>
      <c r="F49" s="1261">
        <v>1755</v>
      </c>
      <c r="G49" s="1262">
        <v>28</v>
      </c>
      <c r="H49" s="1680">
        <f t="shared" si="3"/>
        <v>271</v>
      </c>
      <c r="I49" s="1254" t="s">
        <v>852</v>
      </c>
      <c r="J49" s="1681" t="s">
        <v>852</v>
      </c>
      <c r="K49" s="1681" t="s">
        <v>852</v>
      </c>
      <c r="L49" s="1688" t="s">
        <v>598</v>
      </c>
      <c r="N49" s="844"/>
      <c r="O49" s="2141"/>
      <c r="P49" s="115"/>
      <c r="Q49" s="2141"/>
      <c r="R49" s="112"/>
      <c r="S49" s="2141"/>
      <c r="T49" s="112"/>
      <c r="U49" s="2141"/>
      <c r="V49" s="112"/>
      <c r="W49" s="2141"/>
      <c r="X49" s="112"/>
      <c r="Y49" s="2141"/>
      <c r="Z49" s="112"/>
    </row>
    <row r="50" spans="1:26" ht="24" customHeight="1">
      <c r="A50" s="551"/>
      <c r="B50" s="1252"/>
      <c r="C50" s="1261"/>
      <c r="D50" s="1261"/>
      <c r="E50" s="1261"/>
      <c r="F50" s="1261"/>
      <c r="G50" s="1262"/>
      <c r="H50" s="1680"/>
      <c r="I50" s="1254"/>
      <c r="J50" s="1681"/>
      <c r="K50" s="1681"/>
      <c r="L50" s="1688"/>
      <c r="N50" s="844"/>
      <c r="O50" s="2141"/>
      <c r="P50" s="115"/>
      <c r="Q50" s="2141"/>
      <c r="R50" s="112"/>
      <c r="S50" s="2141"/>
      <c r="T50" s="112"/>
      <c r="U50" s="2141"/>
      <c r="V50" s="112"/>
      <c r="W50" s="2141"/>
      <c r="X50" s="112"/>
      <c r="Y50" s="2141"/>
      <c r="Z50" s="112"/>
    </row>
    <row r="51" spans="1:26" ht="24" customHeight="1">
      <c r="A51" s="414" t="s">
        <v>601</v>
      </c>
      <c r="B51" s="1255">
        <f aca="true" t="shared" si="5" ref="B51:G51">SUM(B52:B55)</f>
        <v>1649</v>
      </c>
      <c r="C51" s="1268">
        <f t="shared" si="5"/>
        <v>388</v>
      </c>
      <c r="D51" s="1268">
        <f t="shared" si="5"/>
        <v>31811</v>
      </c>
      <c r="E51" s="1268">
        <f t="shared" si="5"/>
        <v>627</v>
      </c>
      <c r="F51" s="1268">
        <f t="shared" si="5"/>
        <v>13852</v>
      </c>
      <c r="G51" s="1269">
        <f t="shared" si="5"/>
        <v>222</v>
      </c>
      <c r="H51" s="1680">
        <f t="shared" si="3"/>
        <v>1237</v>
      </c>
      <c r="I51" s="1257" t="s">
        <v>852</v>
      </c>
      <c r="J51" s="1682" t="s">
        <v>852</v>
      </c>
      <c r="K51" s="1682" t="s">
        <v>852</v>
      </c>
      <c r="L51" s="1689" t="s">
        <v>602</v>
      </c>
      <c r="N51" s="844"/>
      <c r="O51" s="2141"/>
      <c r="P51" s="115"/>
      <c r="Q51" s="2141"/>
      <c r="R51" s="112"/>
      <c r="S51" s="2141"/>
      <c r="T51" s="112"/>
      <c r="U51" s="2141"/>
      <c r="V51" s="112"/>
      <c r="W51" s="2141"/>
      <c r="X51" s="112"/>
      <c r="Y51" s="2141"/>
      <c r="Z51" s="112"/>
    </row>
    <row r="52" spans="1:26" ht="24" customHeight="1">
      <c r="A52" s="413" t="s">
        <v>603</v>
      </c>
      <c r="B52" s="1252">
        <v>481</v>
      </c>
      <c r="C52" s="1261">
        <v>113</v>
      </c>
      <c r="D52" s="1261">
        <v>5065</v>
      </c>
      <c r="E52" s="1261">
        <v>100</v>
      </c>
      <c r="F52" s="1261">
        <v>3535</v>
      </c>
      <c r="G52" s="1262">
        <v>57</v>
      </c>
      <c r="H52" s="1680">
        <f t="shared" si="3"/>
        <v>270</v>
      </c>
      <c r="I52" s="1254" t="s">
        <v>852</v>
      </c>
      <c r="J52" s="1681" t="s">
        <v>852</v>
      </c>
      <c r="K52" s="1681" t="s">
        <v>852</v>
      </c>
      <c r="L52" s="1688" t="s">
        <v>604</v>
      </c>
      <c r="N52" s="844"/>
      <c r="O52" s="2141"/>
      <c r="P52" s="115"/>
      <c r="Q52" s="2141"/>
      <c r="R52" s="112"/>
      <c r="S52" s="2141"/>
      <c r="T52" s="112"/>
      <c r="U52" s="2141"/>
      <c r="V52" s="112"/>
      <c r="W52" s="2141"/>
      <c r="X52" s="112"/>
      <c r="Y52" s="2141"/>
      <c r="Z52" s="112"/>
    </row>
    <row r="53" spans="1:26" ht="24" customHeight="1">
      <c r="A53" s="413" t="s">
        <v>605</v>
      </c>
      <c r="B53" s="1252">
        <v>20</v>
      </c>
      <c r="C53" s="1261">
        <v>5</v>
      </c>
      <c r="D53" s="1261">
        <v>2542</v>
      </c>
      <c r="E53" s="1261">
        <v>50</v>
      </c>
      <c r="F53" s="1261">
        <v>1044</v>
      </c>
      <c r="G53" s="1262">
        <v>17</v>
      </c>
      <c r="H53" s="1680">
        <f t="shared" si="3"/>
        <v>72</v>
      </c>
      <c r="I53" s="1254" t="s">
        <v>852</v>
      </c>
      <c r="J53" s="1681" t="s">
        <v>852</v>
      </c>
      <c r="K53" s="1681" t="s">
        <v>852</v>
      </c>
      <c r="L53" s="1688" t="s">
        <v>606</v>
      </c>
      <c r="N53" s="844"/>
      <c r="O53" s="2141"/>
      <c r="P53" s="115"/>
      <c r="Q53" s="2141"/>
      <c r="R53" s="112"/>
      <c r="S53" s="2141"/>
      <c r="T53" s="112"/>
      <c r="U53" s="2141"/>
      <c r="V53" s="112"/>
      <c r="W53" s="2141"/>
      <c r="X53" s="112"/>
      <c r="Y53" s="2141"/>
      <c r="Z53" s="112"/>
    </row>
    <row r="54" spans="1:26" ht="24" customHeight="1">
      <c r="A54" s="413" t="s">
        <v>607</v>
      </c>
      <c r="B54" s="1252">
        <v>589</v>
      </c>
      <c r="C54" s="1261">
        <v>139</v>
      </c>
      <c r="D54" s="1261">
        <v>12280</v>
      </c>
      <c r="E54" s="1261">
        <v>242</v>
      </c>
      <c r="F54" s="1261">
        <v>4217</v>
      </c>
      <c r="G54" s="1262">
        <v>67</v>
      </c>
      <c r="H54" s="1680">
        <f t="shared" si="3"/>
        <v>448</v>
      </c>
      <c r="I54" s="1254" t="s">
        <v>852</v>
      </c>
      <c r="J54" s="1681" t="s">
        <v>852</v>
      </c>
      <c r="K54" s="1681" t="s">
        <v>852</v>
      </c>
      <c r="L54" s="1688" t="s">
        <v>607</v>
      </c>
      <c r="N54" s="844"/>
      <c r="O54" s="2141"/>
      <c r="P54" s="115"/>
      <c r="Q54" s="2141"/>
      <c r="R54" s="112"/>
      <c r="S54" s="2141"/>
      <c r="T54" s="112"/>
      <c r="U54" s="2141"/>
      <c r="V54" s="112"/>
      <c r="W54" s="2141"/>
      <c r="X54" s="112"/>
      <c r="Y54" s="2141"/>
      <c r="Z54" s="112"/>
    </row>
    <row r="55" spans="1:26" ht="24" customHeight="1">
      <c r="A55" s="413" t="s">
        <v>608</v>
      </c>
      <c r="B55" s="1252">
        <v>559</v>
      </c>
      <c r="C55" s="1261">
        <v>131</v>
      </c>
      <c r="D55" s="1261">
        <v>11924</v>
      </c>
      <c r="E55" s="1261">
        <v>235</v>
      </c>
      <c r="F55" s="1261">
        <v>5056</v>
      </c>
      <c r="G55" s="1262">
        <v>81</v>
      </c>
      <c r="H55" s="1680">
        <f t="shared" si="3"/>
        <v>447</v>
      </c>
      <c r="I55" s="1254" t="s">
        <v>852</v>
      </c>
      <c r="J55" s="1681" t="s">
        <v>852</v>
      </c>
      <c r="K55" s="1681" t="s">
        <v>852</v>
      </c>
      <c r="L55" s="1688" t="s">
        <v>608</v>
      </c>
      <c r="N55" s="844"/>
      <c r="O55" s="2141"/>
      <c r="P55" s="117"/>
      <c r="Q55" s="2141"/>
      <c r="R55" s="125"/>
      <c r="S55" s="2141"/>
      <c r="T55" s="116"/>
      <c r="U55" s="2141"/>
      <c r="V55" s="116"/>
      <c r="W55" s="2141"/>
      <c r="X55" s="116"/>
      <c r="Y55" s="2141"/>
      <c r="Z55" s="116"/>
    </row>
    <row r="56" spans="1:26" s="30" customFormat="1" ht="24" customHeight="1">
      <c r="A56" s="552"/>
      <c r="B56" s="1255"/>
      <c r="C56" s="1268"/>
      <c r="D56" s="1268"/>
      <c r="E56" s="1268"/>
      <c r="F56" s="1268"/>
      <c r="G56" s="1269"/>
      <c r="H56" s="1680"/>
      <c r="I56" s="1257"/>
      <c r="J56" s="1682"/>
      <c r="K56" s="1682"/>
      <c r="L56" s="1689"/>
      <c r="N56" s="847"/>
      <c r="O56" s="2137"/>
      <c r="P56" s="118"/>
      <c r="Q56" s="2137"/>
      <c r="R56" s="126"/>
      <c r="S56" s="2137"/>
      <c r="T56" s="126"/>
      <c r="U56" s="2137"/>
      <c r="V56" s="126"/>
      <c r="W56" s="2137"/>
      <c r="X56" s="126"/>
      <c r="Y56" s="2137"/>
      <c r="Z56" s="126"/>
    </row>
    <row r="57" spans="1:26" ht="24" customHeight="1">
      <c r="A57" s="552" t="s">
        <v>1286</v>
      </c>
      <c r="B57" s="1255">
        <f aca="true" t="shared" si="6" ref="B57:G57">SUM(B58:B59)</f>
        <v>1370</v>
      </c>
      <c r="C57" s="1268">
        <f t="shared" si="6"/>
        <v>322</v>
      </c>
      <c r="D57" s="1268">
        <f t="shared" si="6"/>
        <v>25729</v>
      </c>
      <c r="E57" s="1268">
        <f t="shared" si="6"/>
        <v>507</v>
      </c>
      <c r="F57" s="1268">
        <f t="shared" si="6"/>
        <v>6290</v>
      </c>
      <c r="G57" s="1269">
        <f t="shared" si="6"/>
        <v>101</v>
      </c>
      <c r="H57" s="1680">
        <f t="shared" si="3"/>
        <v>930</v>
      </c>
      <c r="I57" s="1257" t="s">
        <v>852</v>
      </c>
      <c r="J57" s="1682" t="s">
        <v>852</v>
      </c>
      <c r="K57" s="1682" t="s">
        <v>852</v>
      </c>
      <c r="L57" s="1389" t="s">
        <v>1286</v>
      </c>
      <c r="N57" s="844"/>
      <c r="O57" s="2141"/>
      <c r="P57" s="115"/>
      <c r="Q57" s="2141"/>
      <c r="R57" s="112"/>
      <c r="S57" s="2141"/>
      <c r="T57" s="112"/>
      <c r="U57" s="2141"/>
      <c r="V57" s="112"/>
      <c r="W57" s="2141"/>
      <c r="X57" s="112"/>
      <c r="Y57" s="2141"/>
      <c r="Z57" s="112"/>
    </row>
    <row r="58" spans="1:26" ht="24" customHeight="1">
      <c r="A58" s="551" t="s">
        <v>586</v>
      </c>
      <c r="B58" s="1252">
        <v>1061</v>
      </c>
      <c r="C58" s="1261">
        <v>249</v>
      </c>
      <c r="D58" s="1261">
        <v>18818</v>
      </c>
      <c r="E58" s="1264">
        <v>371</v>
      </c>
      <c r="F58" s="1261">
        <v>4673</v>
      </c>
      <c r="G58" s="1262">
        <v>75</v>
      </c>
      <c r="H58" s="1680">
        <f t="shared" si="3"/>
        <v>695</v>
      </c>
      <c r="I58" s="1254" t="s">
        <v>852</v>
      </c>
      <c r="J58" s="1681" t="s">
        <v>852</v>
      </c>
      <c r="K58" s="1681" t="s">
        <v>852</v>
      </c>
      <c r="L58" s="1388" t="s">
        <v>586</v>
      </c>
      <c r="N58" s="844"/>
      <c r="O58" s="2141"/>
      <c r="P58" s="115"/>
      <c r="Q58" s="2141"/>
      <c r="R58" s="112"/>
      <c r="S58" s="2141"/>
      <c r="T58" s="112"/>
      <c r="U58" s="2141"/>
      <c r="V58" s="112"/>
      <c r="W58" s="2141"/>
      <c r="X58" s="112"/>
      <c r="Y58" s="2141"/>
      <c r="Z58" s="112"/>
    </row>
    <row r="59" spans="1:26" ht="24" customHeight="1">
      <c r="A59" s="551" t="s">
        <v>587</v>
      </c>
      <c r="B59" s="1252">
        <v>309</v>
      </c>
      <c r="C59" s="1261">
        <v>73</v>
      </c>
      <c r="D59" s="1261">
        <v>6911</v>
      </c>
      <c r="E59" s="1264">
        <v>136</v>
      </c>
      <c r="F59" s="1261">
        <v>1617</v>
      </c>
      <c r="G59" s="1262">
        <v>26</v>
      </c>
      <c r="H59" s="1680">
        <f t="shared" si="3"/>
        <v>235</v>
      </c>
      <c r="I59" s="1254" t="s">
        <v>852</v>
      </c>
      <c r="J59" s="1681" t="s">
        <v>852</v>
      </c>
      <c r="K59" s="1681" t="s">
        <v>852</v>
      </c>
      <c r="L59" s="1388" t="s">
        <v>587</v>
      </c>
      <c r="N59" s="844"/>
      <c r="O59" s="2141"/>
      <c r="P59" s="115"/>
      <c r="Q59" s="2141"/>
      <c r="R59" s="112"/>
      <c r="S59" s="2141"/>
      <c r="T59" s="112"/>
      <c r="U59" s="2141"/>
      <c r="V59" s="112"/>
      <c r="W59" s="2141"/>
      <c r="X59" s="112"/>
      <c r="Y59" s="2141"/>
      <c r="Z59" s="112"/>
    </row>
    <row r="60" spans="1:26" ht="24" customHeight="1" thickBot="1">
      <c r="A60" s="551"/>
      <c r="B60" s="1252"/>
      <c r="C60" s="1261"/>
      <c r="D60" s="1261"/>
      <c r="E60" s="1264"/>
      <c r="F60" s="1261"/>
      <c r="G60" s="1262"/>
      <c r="H60" s="1680"/>
      <c r="I60" s="1254"/>
      <c r="J60" s="1681"/>
      <c r="K60" s="1681"/>
      <c r="L60" s="1688"/>
      <c r="N60" s="844"/>
      <c r="O60" s="2419"/>
      <c r="P60" s="127"/>
      <c r="Q60" s="2419"/>
      <c r="R60" s="128"/>
      <c r="S60" s="2419"/>
      <c r="T60" s="112"/>
      <c r="U60" s="2419"/>
      <c r="V60" s="112"/>
      <c r="W60" s="2419"/>
      <c r="X60" s="112"/>
      <c r="Y60" s="2419"/>
      <c r="Z60" s="112"/>
    </row>
    <row r="61" spans="1:26" ht="24" customHeight="1">
      <c r="A61" s="552" t="s">
        <v>1287</v>
      </c>
      <c r="B61" s="1255">
        <f aca="true" t="shared" si="7" ref="B61:G61">SUM(B62:B64)</f>
        <v>1578</v>
      </c>
      <c r="C61" s="1268">
        <f t="shared" si="7"/>
        <v>371</v>
      </c>
      <c r="D61" s="1268">
        <f t="shared" si="7"/>
        <v>39706</v>
      </c>
      <c r="E61" s="1268">
        <f t="shared" si="7"/>
        <v>782</v>
      </c>
      <c r="F61" s="1268">
        <f t="shared" si="7"/>
        <v>4664</v>
      </c>
      <c r="G61" s="1269">
        <f t="shared" si="7"/>
        <v>75</v>
      </c>
      <c r="H61" s="1680">
        <f t="shared" si="3"/>
        <v>1228</v>
      </c>
      <c r="I61" s="1257" t="s">
        <v>852</v>
      </c>
      <c r="J61" s="1682" t="s">
        <v>852</v>
      </c>
      <c r="K61" s="1682" t="s">
        <v>852</v>
      </c>
      <c r="L61" s="1689" t="s">
        <v>1287</v>
      </c>
      <c r="O61" s="50"/>
      <c r="P61" s="708"/>
      <c r="Q61" s="88"/>
      <c r="R61" s="708"/>
      <c r="S61" s="50"/>
      <c r="T61" s="708"/>
      <c r="U61" s="50"/>
      <c r="V61" s="708"/>
      <c r="W61" s="50"/>
      <c r="X61" s="708"/>
      <c r="Y61" s="50"/>
      <c r="Z61" s="708"/>
    </row>
    <row r="62" spans="1:26" ht="24" customHeight="1">
      <c r="A62" s="551" t="s">
        <v>1273</v>
      </c>
      <c r="B62" s="1252">
        <v>717</v>
      </c>
      <c r="C62" s="1261">
        <v>168</v>
      </c>
      <c r="D62" s="1261">
        <v>8184</v>
      </c>
      <c r="E62" s="1264">
        <v>161</v>
      </c>
      <c r="F62" s="1261">
        <v>1618</v>
      </c>
      <c r="G62" s="1262">
        <v>26</v>
      </c>
      <c r="H62" s="1680">
        <f t="shared" si="3"/>
        <v>355</v>
      </c>
      <c r="I62" s="1254" t="s">
        <v>852</v>
      </c>
      <c r="J62" s="1681" t="s">
        <v>852</v>
      </c>
      <c r="K62" s="1681" t="s">
        <v>852</v>
      </c>
      <c r="L62" s="1688" t="s">
        <v>1294</v>
      </c>
      <c r="O62" s="50"/>
      <c r="P62" s="708"/>
      <c r="Q62" s="88"/>
      <c r="R62" s="708"/>
      <c r="S62" s="50"/>
      <c r="T62" s="708"/>
      <c r="U62" s="50"/>
      <c r="V62" s="708"/>
      <c r="W62" s="50"/>
      <c r="X62" s="708"/>
      <c r="Y62" s="50"/>
      <c r="Z62" s="708"/>
    </row>
    <row r="63" spans="1:26" ht="24" customHeight="1">
      <c r="A63" s="551" t="s">
        <v>596</v>
      </c>
      <c r="B63" s="1252">
        <v>279</v>
      </c>
      <c r="C63" s="1261">
        <v>66</v>
      </c>
      <c r="D63" s="1261">
        <v>9954</v>
      </c>
      <c r="E63" s="1264">
        <v>196</v>
      </c>
      <c r="F63" s="1261">
        <v>699</v>
      </c>
      <c r="G63" s="1262">
        <v>11</v>
      </c>
      <c r="H63" s="1680">
        <f t="shared" si="3"/>
        <v>273</v>
      </c>
      <c r="I63" s="1254" t="s">
        <v>852</v>
      </c>
      <c r="J63" s="1681" t="s">
        <v>852</v>
      </c>
      <c r="K63" s="1681" t="s">
        <v>852</v>
      </c>
      <c r="L63" s="1688" t="s">
        <v>596</v>
      </c>
      <c r="O63" s="50"/>
      <c r="P63" s="708"/>
      <c r="Q63" s="88"/>
      <c r="R63" s="708"/>
      <c r="S63" s="50"/>
      <c r="T63" s="708"/>
      <c r="U63" s="50"/>
      <c r="V63" s="708"/>
      <c r="W63" s="50"/>
      <c r="X63" s="708"/>
      <c r="Y63" s="50"/>
      <c r="Z63" s="708"/>
    </row>
    <row r="64" spans="1:26" ht="24" customHeight="1" thickBot="1">
      <c r="A64" s="556" t="s">
        <v>595</v>
      </c>
      <c r="B64" s="1278">
        <v>582</v>
      </c>
      <c r="C64" s="1683">
        <v>137</v>
      </c>
      <c r="D64" s="1683">
        <v>21568</v>
      </c>
      <c r="E64" s="1684">
        <v>425</v>
      </c>
      <c r="F64" s="1683">
        <v>2347</v>
      </c>
      <c r="G64" s="1280">
        <v>38</v>
      </c>
      <c r="H64" s="1685">
        <f t="shared" si="3"/>
        <v>600</v>
      </c>
      <c r="I64" s="1686" t="s">
        <v>852</v>
      </c>
      <c r="J64" s="739" t="s">
        <v>852</v>
      </c>
      <c r="K64" s="739" t="s">
        <v>852</v>
      </c>
      <c r="L64" s="1690" t="s">
        <v>595</v>
      </c>
      <c r="O64" s="50"/>
      <c r="P64" s="708"/>
      <c r="Q64" s="88"/>
      <c r="R64" s="708"/>
      <c r="S64" s="50"/>
      <c r="T64" s="708"/>
      <c r="U64" s="50"/>
      <c r="V64" s="708"/>
      <c r="W64" s="50"/>
      <c r="X64" s="708"/>
      <c r="Y64" s="50"/>
      <c r="Z64" s="708"/>
    </row>
    <row r="65" spans="1:26" ht="23.25">
      <c r="A65" s="1261"/>
      <c r="B65" s="83"/>
      <c r="C65" s="83"/>
      <c r="D65" s="83"/>
      <c r="E65" s="74"/>
      <c r="F65" s="83"/>
      <c r="G65" s="83"/>
      <c r="H65" s="50"/>
      <c r="I65" s="38"/>
      <c r="J65" s="38"/>
      <c r="K65" s="38"/>
      <c r="L65" s="540"/>
      <c r="O65" s="50"/>
      <c r="P65" s="708"/>
      <c r="Q65" s="88"/>
      <c r="R65" s="708"/>
      <c r="S65" s="50"/>
      <c r="T65" s="708"/>
      <c r="U65" s="50"/>
      <c r="V65" s="708"/>
      <c r="W65" s="50"/>
      <c r="X65" s="708"/>
      <c r="Y65" s="50"/>
      <c r="Z65" s="708"/>
    </row>
    <row r="66" spans="12:26" ht="23.25">
      <c r="L66" s="540"/>
      <c r="O66" s="50"/>
      <c r="P66" s="708"/>
      <c r="Q66" s="88"/>
      <c r="R66" s="708"/>
      <c r="S66" s="50"/>
      <c r="T66" s="708"/>
      <c r="U66" s="50"/>
      <c r="V66" s="708"/>
      <c r="W66" s="50"/>
      <c r="X66" s="708"/>
      <c r="Y66" s="50"/>
      <c r="Z66" s="708"/>
    </row>
    <row r="67" spans="1:26" ht="25.5" customHeight="1">
      <c r="A67" s="1465" t="s">
        <v>209</v>
      </c>
      <c r="L67" s="540"/>
      <c r="O67" s="50"/>
      <c r="P67" s="708"/>
      <c r="Q67" s="88"/>
      <c r="R67" s="708"/>
      <c r="S67" s="50"/>
      <c r="T67" s="708"/>
      <c r="U67" s="50"/>
      <c r="V67" s="708"/>
      <c r="W67" s="50"/>
      <c r="X67" s="708"/>
      <c r="Y67" s="50"/>
      <c r="Z67" s="708"/>
    </row>
    <row r="68" spans="10:26" ht="18" customHeight="1" thickBot="1">
      <c r="J68" s="2648" t="s">
        <v>936</v>
      </c>
      <c r="L68" s="540"/>
      <c r="O68" s="50"/>
      <c r="P68" s="708"/>
      <c r="Q68" s="88"/>
      <c r="R68" s="708"/>
      <c r="S68" s="50"/>
      <c r="T68" s="708"/>
      <c r="U68" s="50"/>
      <c r="V68" s="708"/>
      <c r="W68" s="50"/>
      <c r="X68" s="708"/>
      <c r="Y68" s="50"/>
      <c r="Z68" s="708"/>
    </row>
    <row r="69" spans="1:26" ht="24" thickBot="1">
      <c r="A69" s="2073"/>
      <c r="B69" s="1380" t="s">
        <v>961</v>
      </c>
      <c r="C69" s="1381"/>
      <c r="D69" s="1382"/>
      <c r="E69" s="1380" t="s">
        <v>962</v>
      </c>
      <c r="F69" s="1381"/>
      <c r="G69" s="1382"/>
      <c r="H69" s="1380" t="s">
        <v>963</v>
      </c>
      <c r="I69" s="1381"/>
      <c r="J69" s="1382"/>
      <c r="L69" s="540"/>
      <c r="O69" s="50"/>
      <c r="P69" s="708"/>
      <c r="Q69" s="88"/>
      <c r="R69" s="708"/>
      <c r="S69" s="50"/>
      <c r="T69" s="708"/>
      <c r="U69" s="50"/>
      <c r="V69" s="708"/>
      <c r="W69" s="50"/>
      <c r="X69" s="708"/>
      <c r="Y69" s="50"/>
      <c r="Z69" s="708"/>
    </row>
    <row r="70" spans="1:26" ht="23.25">
      <c r="A70" s="2074"/>
      <c r="B70" s="1386" t="s">
        <v>964</v>
      </c>
      <c r="C70" s="1386" t="s">
        <v>965</v>
      </c>
      <c r="D70" s="1386" t="s">
        <v>966</v>
      </c>
      <c r="E70" s="1386" t="s">
        <v>964</v>
      </c>
      <c r="F70" s="1386" t="s">
        <v>965</v>
      </c>
      <c r="G70" s="1386" t="s">
        <v>966</v>
      </c>
      <c r="H70" s="1386" t="s">
        <v>964</v>
      </c>
      <c r="I70" s="1386" t="s">
        <v>965</v>
      </c>
      <c r="J70" s="1386" t="s">
        <v>966</v>
      </c>
      <c r="L70" s="540"/>
      <c r="O70" s="50"/>
      <c r="P70" s="708"/>
      <c r="Q70" s="88"/>
      <c r="R70" s="708"/>
      <c r="S70" s="50"/>
      <c r="T70" s="708"/>
      <c r="U70" s="50"/>
      <c r="V70" s="708"/>
      <c r="W70" s="50"/>
      <c r="X70" s="708"/>
      <c r="Y70" s="50"/>
      <c r="Z70" s="708"/>
    </row>
    <row r="71" spans="1:10" ht="24" thickBot="1">
      <c r="A71" s="2075"/>
      <c r="B71" s="1626" t="s">
        <v>967</v>
      </c>
      <c r="C71" s="1626" t="s">
        <v>968</v>
      </c>
      <c r="D71" s="1626" t="s">
        <v>966</v>
      </c>
      <c r="E71" s="1626" t="s">
        <v>967</v>
      </c>
      <c r="F71" s="1626" t="s">
        <v>968</v>
      </c>
      <c r="G71" s="1626" t="s">
        <v>966</v>
      </c>
      <c r="H71" s="1626" t="s">
        <v>967</v>
      </c>
      <c r="I71" s="1626" t="s">
        <v>968</v>
      </c>
      <c r="J71" s="1626" t="s">
        <v>966</v>
      </c>
    </row>
    <row r="72" spans="1:12" s="2355" customFormat="1" ht="23.25" thickBot="1">
      <c r="A72" s="2354" t="s">
        <v>938</v>
      </c>
      <c r="B72" s="2649">
        <v>293.87</v>
      </c>
      <c r="C72" s="2649">
        <v>241.7</v>
      </c>
      <c r="D72" s="2649">
        <v>215.59</v>
      </c>
      <c r="E72" s="2649">
        <v>24.89</v>
      </c>
      <c r="F72" s="2649">
        <v>20.33</v>
      </c>
      <c r="G72" s="2649">
        <v>17.75</v>
      </c>
      <c r="H72" s="2649">
        <v>20.74</v>
      </c>
      <c r="I72" s="2649">
        <v>18.39</v>
      </c>
      <c r="J72" s="2649">
        <v>14.14</v>
      </c>
      <c r="L72" s="2356"/>
    </row>
  </sheetData>
  <sheetProtection/>
  <mergeCells count="8">
    <mergeCell ref="W35:Z35"/>
    <mergeCell ref="I34:J35"/>
    <mergeCell ref="B14:C15"/>
    <mergeCell ref="B34:C35"/>
    <mergeCell ref="D34:E35"/>
    <mergeCell ref="F34:G35"/>
    <mergeCell ref="O35:R35"/>
    <mergeCell ref="S35:V35"/>
  </mergeCells>
  <printOptions/>
  <pageMargins left="0.4724409448818898" right="0.984251968503937" top="0.31496062992125984" bottom="0.984251968503937" header="0.15748031496062992" footer="0.5118110236220472"/>
  <pageSetup horizontalDpi="300" verticalDpi="300" orientation="landscape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55"/>
  <sheetViews>
    <sheetView zoomScale="60" zoomScaleNormal="60" zoomScalePageLayoutView="0" workbookViewId="0" topLeftCell="A1">
      <selection activeCell="R7" sqref="R7"/>
    </sheetView>
  </sheetViews>
  <sheetFormatPr defaultColWidth="10.28125" defaultRowHeight="12.75"/>
  <cols>
    <col min="1" max="1" width="34.421875" style="15" customWidth="1"/>
    <col min="2" max="11" width="8.8515625" style="48" customWidth="1"/>
    <col min="12" max="12" width="8.8515625" style="585" customWidth="1"/>
    <col min="13" max="13" width="8.8515625" style="722" customWidth="1"/>
    <col min="14" max="251" width="9.7109375" style="15" customWidth="1"/>
    <col min="252" max="16384" width="10.28125" style="15" customWidth="1"/>
  </cols>
  <sheetData>
    <row r="1" ht="21" customHeight="1">
      <c r="A1" s="44" t="s">
        <v>969</v>
      </c>
    </row>
    <row r="2" ht="11.25" customHeight="1" thickBot="1"/>
    <row r="3" spans="1:13" ht="21" customHeight="1" thickBot="1">
      <c r="A3" s="68" t="s">
        <v>970</v>
      </c>
      <c r="B3" s="1400">
        <v>1998</v>
      </c>
      <c r="C3" s="1400">
        <v>1999</v>
      </c>
      <c r="D3" s="1400">
        <v>2000</v>
      </c>
      <c r="E3" s="1400">
        <v>2001</v>
      </c>
      <c r="F3" s="1401">
        <v>2002</v>
      </c>
      <c r="G3" s="1401">
        <v>2003</v>
      </c>
      <c r="H3" s="2541">
        <v>2004</v>
      </c>
      <c r="I3" s="1400">
        <v>2005</v>
      </c>
      <c r="J3" s="2545">
        <v>2006</v>
      </c>
      <c r="K3" s="2179">
        <v>2007</v>
      </c>
      <c r="L3" s="2537">
        <v>2008</v>
      </c>
      <c r="M3" s="2178">
        <v>2009</v>
      </c>
    </row>
    <row r="4" spans="1:13" ht="21" customHeight="1">
      <c r="A4" s="69" t="s">
        <v>938</v>
      </c>
      <c r="B4" s="1402"/>
      <c r="C4" s="1402"/>
      <c r="D4" s="1402"/>
      <c r="E4" s="1402"/>
      <c r="F4" s="1402"/>
      <c r="G4" s="1402"/>
      <c r="H4" s="2542"/>
      <c r="I4" s="1402"/>
      <c r="J4" s="2176"/>
      <c r="K4" s="2180"/>
      <c r="L4" s="2538"/>
      <c r="M4" s="1403"/>
    </row>
    <row r="5" spans="1:13" ht="21" customHeight="1">
      <c r="A5" s="70" t="s">
        <v>971</v>
      </c>
      <c r="B5" s="1404"/>
      <c r="C5" s="1404"/>
      <c r="D5" s="1404"/>
      <c r="E5" s="1404"/>
      <c r="F5" s="1404"/>
      <c r="G5" s="1404"/>
      <c r="H5" s="2543"/>
      <c r="I5" s="1404"/>
      <c r="J5" s="1076"/>
      <c r="K5" s="2181"/>
      <c r="L5" s="2539"/>
      <c r="M5" s="1405"/>
    </row>
    <row r="6" spans="1:13" ht="21" customHeight="1">
      <c r="A6" s="70" t="s">
        <v>972</v>
      </c>
      <c r="B6" s="1404">
        <v>296</v>
      </c>
      <c r="C6" s="1404">
        <v>303</v>
      </c>
      <c r="D6" s="1404">
        <v>318</v>
      </c>
      <c r="E6" s="1404">
        <v>324</v>
      </c>
      <c r="F6" s="1404">
        <v>333</v>
      </c>
      <c r="G6" s="1404">
        <v>348</v>
      </c>
      <c r="H6" s="2543">
        <v>360</v>
      </c>
      <c r="I6" s="1404">
        <v>375</v>
      </c>
      <c r="J6" s="1076">
        <v>396</v>
      </c>
      <c r="K6" s="2181">
        <f>SUM(K23+K31+K47)</f>
        <v>442</v>
      </c>
      <c r="L6" s="2539">
        <f>SUM(L23+L31+L47)</f>
        <v>422</v>
      </c>
      <c r="M6" s="1405">
        <f>SUM(M23+M31+M47)</f>
        <v>437</v>
      </c>
    </row>
    <row r="7" spans="1:13" ht="21" customHeight="1">
      <c r="A7" s="70" t="s">
        <v>973</v>
      </c>
      <c r="B7" s="1404"/>
      <c r="C7" s="1404"/>
      <c r="D7" s="1404"/>
      <c r="E7" s="1404"/>
      <c r="F7" s="1404"/>
      <c r="G7" s="1404"/>
      <c r="H7" s="2543"/>
      <c r="I7" s="1404"/>
      <c r="J7" s="1076"/>
      <c r="K7" s="2181"/>
      <c r="L7" s="2539"/>
      <c r="M7" s="1405"/>
    </row>
    <row r="8" spans="1:13" ht="21" customHeight="1">
      <c r="A8" s="70" t="s">
        <v>974</v>
      </c>
      <c r="B8" s="1404">
        <v>150</v>
      </c>
      <c r="C8" s="1404">
        <v>190</v>
      </c>
      <c r="D8" s="1404">
        <v>175</v>
      </c>
      <c r="E8" s="1404">
        <v>163</v>
      </c>
      <c r="F8" s="1404">
        <v>163</v>
      </c>
      <c r="G8" s="1404">
        <v>204</v>
      </c>
      <c r="H8" s="2543">
        <v>229</v>
      </c>
      <c r="I8" s="1404">
        <v>261</v>
      </c>
      <c r="J8" s="1076">
        <v>277</v>
      </c>
      <c r="K8" s="2181">
        <f>SUM(K25+K33+K49)</f>
        <v>269</v>
      </c>
      <c r="L8" s="2539">
        <f>SUM(L25+L33+L49)</f>
        <v>288</v>
      </c>
      <c r="M8" s="1405">
        <f>SUM(M25+M33+M49)</f>
        <v>290</v>
      </c>
    </row>
    <row r="9" spans="1:13" ht="21" customHeight="1">
      <c r="A9" s="70" t="s">
        <v>975</v>
      </c>
      <c r="B9" s="1404"/>
      <c r="C9" s="1404"/>
      <c r="D9" s="1404"/>
      <c r="E9" s="1404"/>
      <c r="F9" s="1404"/>
      <c r="G9" s="1404"/>
      <c r="H9" s="2543"/>
      <c r="I9" s="1404"/>
      <c r="J9" s="1076"/>
      <c r="K9" s="2181"/>
      <c r="L9" s="2539"/>
      <c r="M9" s="1405"/>
    </row>
    <row r="10" spans="1:13" ht="21" customHeight="1">
      <c r="A10" s="70" t="s">
        <v>976</v>
      </c>
      <c r="B10" s="1404">
        <v>3</v>
      </c>
      <c r="C10" s="1404">
        <v>4</v>
      </c>
      <c r="D10" s="1404">
        <v>4</v>
      </c>
      <c r="E10" s="1404" t="s">
        <v>464</v>
      </c>
      <c r="F10" s="1404" t="s">
        <v>464</v>
      </c>
      <c r="G10" s="1404" t="s">
        <v>464</v>
      </c>
      <c r="H10" s="2543" t="s">
        <v>464</v>
      </c>
      <c r="I10" s="1404" t="s">
        <v>464</v>
      </c>
      <c r="J10" s="1076" t="s">
        <v>464</v>
      </c>
      <c r="K10" s="2181" t="s">
        <v>464</v>
      </c>
      <c r="L10" s="2539" t="s">
        <v>464</v>
      </c>
      <c r="M10" s="1405" t="s">
        <v>464</v>
      </c>
    </row>
    <row r="11" spans="1:18" ht="21" customHeight="1">
      <c r="A11" s="70" t="s">
        <v>977</v>
      </c>
      <c r="B11" s="1404"/>
      <c r="C11" s="1404"/>
      <c r="D11" s="1404"/>
      <c r="E11" s="1404"/>
      <c r="F11" s="1404"/>
      <c r="G11" s="1404"/>
      <c r="H11" s="2543"/>
      <c r="I11" s="1404"/>
      <c r="J11" s="1076"/>
      <c r="K11" s="2181"/>
      <c r="L11" s="2539"/>
      <c r="M11" s="1405"/>
      <c r="R11" s="15" t="s">
        <v>1206</v>
      </c>
    </row>
    <row r="12" spans="1:13" ht="21" customHeight="1">
      <c r="A12" s="70" t="s">
        <v>978</v>
      </c>
      <c r="B12" s="1404" t="s">
        <v>464</v>
      </c>
      <c r="C12" s="1404" t="s">
        <v>464</v>
      </c>
      <c r="D12" s="1404" t="s">
        <v>464</v>
      </c>
      <c r="E12" s="1404" t="s">
        <v>464</v>
      </c>
      <c r="F12" s="1404" t="s">
        <v>464</v>
      </c>
      <c r="G12" s="1404" t="s">
        <v>464</v>
      </c>
      <c r="H12" s="2543" t="s">
        <v>464</v>
      </c>
      <c r="I12" s="1404" t="s">
        <v>464</v>
      </c>
      <c r="J12" s="1076" t="s">
        <v>464</v>
      </c>
      <c r="K12" s="2181" t="s">
        <v>464</v>
      </c>
      <c r="L12" s="2539" t="s">
        <v>464</v>
      </c>
      <c r="M12" s="1405" t="s">
        <v>464</v>
      </c>
    </row>
    <row r="13" spans="1:13" ht="21" customHeight="1">
      <c r="A13" s="70" t="s">
        <v>979</v>
      </c>
      <c r="B13" s="1404"/>
      <c r="C13" s="1404"/>
      <c r="D13" s="1404"/>
      <c r="E13" s="1404"/>
      <c r="F13" s="1404"/>
      <c r="G13" s="1404"/>
      <c r="H13" s="2543"/>
      <c r="I13" s="1404"/>
      <c r="J13" s="1076"/>
      <c r="K13" s="2181"/>
      <c r="L13" s="2539"/>
      <c r="M13" s="1405"/>
    </row>
    <row r="14" spans="1:13" ht="21" customHeight="1">
      <c r="A14" s="70" t="s">
        <v>980</v>
      </c>
      <c r="B14" s="1404">
        <v>346</v>
      </c>
      <c r="C14" s="1404">
        <v>227</v>
      </c>
      <c r="D14" s="1404">
        <v>208</v>
      </c>
      <c r="E14" s="1404">
        <v>200</v>
      </c>
      <c r="F14" s="1404">
        <v>188</v>
      </c>
      <c r="G14" s="1404">
        <v>251</v>
      </c>
      <c r="H14" s="2543">
        <v>293</v>
      </c>
      <c r="I14" s="1404">
        <v>325</v>
      </c>
      <c r="J14" s="1076">
        <v>390</v>
      </c>
      <c r="K14" s="2181">
        <f>SUM(K27+K39+K55)</f>
        <v>388</v>
      </c>
      <c r="L14" s="2539">
        <f>SUM(L27+L39+L55)</f>
        <v>381</v>
      </c>
      <c r="M14" s="1405">
        <f>SUM(M27+M39+M55)</f>
        <v>340</v>
      </c>
    </row>
    <row r="15" spans="1:13" ht="21" customHeight="1">
      <c r="A15" s="70" t="s">
        <v>981</v>
      </c>
      <c r="B15" s="1404"/>
      <c r="C15" s="1404"/>
      <c r="D15" s="1404"/>
      <c r="E15" s="1404"/>
      <c r="F15" s="1404"/>
      <c r="G15" s="1404"/>
      <c r="H15" s="2543"/>
      <c r="I15" s="1404"/>
      <c r="J15" s="1076"/>
      <c r="K15" s="2181"/>
      <c r="L15" s="2539"/>
      <c r="M15" s="1405"/>
    </row>
    <row r="16" spans="1:13" ht="21" customHeight="1">
      <c r="A16" s="70" t="s">
        <v>982</v>
      </c>
      <c r="B16" s="1404">
        <v>1</v>
      </c>
      <c r="C16" s="1404">
        <v>1</v>
      </c>
      <c r="D16" s="1404">
        <v>1</v>
      </c>
      <c r="E16" s="1404">
        <v>1</v>
      </c>
      <c r="F16" s="1404">
        <v>2</v>
      </c>
      <c r="G16" s="1404">
        <v>2</v>
      </c>
      <c r="H16" s="2543" t="s">
        <v>464</v>
      </c>
      <c r="I16" s="1404" t="s">
        <v>464</v>
      </c>
      <c r="J16" s="1076" t="s">
        <v>464</v>
      </c>
      <c r="K16" s="2181" t="s">
        <v>464</v>
      </c>
      <c r="L16" s="2539" t="s">
        <v>464</v>
      </c>
      <c r="M16" s="1405" t="s">
        <v>464</v>
      </c>
    </row>
    <row r="17" spans="1:13" ht="21" customHeight="1">
      <c r="A17" s="70" t="s">
        <v>983</v>
      </c>
      <c r="B17" s="1404"/>
      <c r="C17" s="1404"/>
      <c r="D17" s="1404"/>
      <c r="E17" s="1404"/>
      <c r="F17" s="1404"/>
      <c r="G17" s="1404"/>
      <c r="H17" s="2543"/>
      <c r="I17" s="1404"/>
      <c r="J17" s="1076"/>
      <c r="K17" s="2181"/>
      <c r="L17" s="2539"/>
      <c r="M17" s="1405"/>
    </row>
    <row r="18" spans="1:13" ht="21" customHeight="1">
      <c r="A18" s="70" t="s">
        <v>984</v>
      </c>
      <c r="B18" s="1404" t="s">
        <v>464</v>
      </c>
      <c r="C18" s="1404" t="s">
        <v>464</v>
      </c>
      <c r="D18" s="1404" t="s">
        <v>464</v>
      </c>
      <c r="E18" s="1404" t="s">
        <v>464</v>
      </c>
      <c r="F18" s="1404">
        <v>1</v>
      </c>
      <c r="G18" s="1404">
        <v>1</v>
      </c>
      <c r="H18" s="2543" t="s">
        <v>464</v>
      </c>
      <c r="I18" s="1404" t="s">
        <v>464</v>
      </c>
      <c r="J18" s="1076" t="s">
        <v>464</v>
      </c>
      <c r="K18" s="2181" t="s">
        <v>464</v>
      </c>
      <c r="L18" s="2539" t="s">
        <v>464</v>
      </c>
      <c r="M18" s="1405" t="s">
        <v>464</v>
      </c>
    </row>
    <row r="19" spans="1:13" ht="12" customHeight="1">
      <c r="A19" s="70"/>
      <c r="B19" s="1404"/>
      <c r="C19" s="1404"/>
      <c r="D19" s="1404"/>
      <c r="E19" s="1404"/>
      <c r="F19" s="1404"/>
      <c r="G19" s="1404"/>
      <c r="H19" s="2543"/>
      <c r="I19" s="1404"/>
      <c r="J19" s="1076"/>
      <c r="K19" s="2181"/>
      <c r="L19" s="2539"/>
      <c r="M19" s="1405"/>
    </row>
    <row r="20" spans="1:13" ht="21" customHeight="1">
      <c r="A20" s="71" t="s">
        <v>985</v>
      </c>
      <c r="B20" s="1404"/>
      <c r="C20" s="1404"/>
      <c r="D20" s="1404"/>
      <c r="E20" s="1404"/>
      <c r="F20" s="1404"/>
      <c r="G20" s="1404"/>
      <c r="H20" s="2543"/>
      <c r="I20" s="1404"/>
      <c r="J20" s="1076"/>
      <c r="K20" s="2181"/>
      <c r="L20" s="2539"/>
      <c r="M20" s="1405"/>
    </row>
    <row r="21" spans="1:13" ht="21" customHeight="1">
      <c r="A21" s="70" t="s">
        <v>688</v>
      </c>
      <c r="B21" s="1404"/>
      <c r="C21" s="1404"/>
      <c r="D21" s="1404"/>
      <c r="E21" s="1404"/>
      <c r="F21" s="1404"/>
      <c r="G21" s="1404"/>
      <c r="H21" s="2543"/>
      <c r="I21" s="1404"/>
      <c r="J21" s="1076"/>
      <c r="K21" s="2181"/>
      <c r="L21" s="2539"/>
      <c r="M21" s="1405"/>
    </row>
    <row r="22" spans="1:13" ht="21" customHeight="1">
      <c r="A22" s="70" t="s">
        <v>971</v>
      </c>
      <c r="B22" s="1404"/>
      <c r="C22" s="1404"/>
      <c r="D22" s="1404"/>
      <c r="E22" s="1404"/>
      <c r="F22" s="1404"/>
      <c r="G22" s="1404"/>
      <c r="H22" s="2543"/>
      <c r="I22" s="1404"/>
      <c r="J22" s="1076"/>
      <c r="K22" s="2181"/>
      <c r="L22" s="2539"/>
      <c r="M22" s="1405"/>
    </row>
    <row r="23" spans="1:13" ht="21" customHeight="1">
      <c r="A23" s="70" t="s">
        <v>972</v>
      </c>
      <c r="B23" s="1404">
        <v>50</v>
      </c>
      <c r="C23" s="1404">
        <v>48</v>
      </c>
      <c r="D23" s="1404">
        <v>48</v>
      </c>
      <c r="E23" s="1404">
        <v>46</v>
      </c>
      <c r="F23" s="1404">
        <v>46</v>
      </c>
      <c r="G23" s="1404">
        <v>46</v>
      </c>
      <c r="H23" s="2543">
        <v>48</v>
      </c>
      <c r="I23" s="1404">
        <v>53</v>
      </c>
      <c r="J23" s="1076">
        <v>55</v>
      </c>
      <c r="K23" s="2181">
        <v>60</v>
      </c>
      <c r="L23" s="2539">
        <v>59</v>
      </c>
      <c r="M23" s="1405">
        <v>62</v>
      </c>
    </row>
    <row r="24" spans="1:13" ht="21" customHeight="1">
      <c r="A24" s="70" t="s">
        <v>973</v>
      </c>
      <c r="B24" s="1404"/>
      <c r="C24" s="1404"/>
      <c r="D24" s="1404"/>
      <c r="E24" s="1404"/>
      <c r="F24" s="1404"/>
      <c r="G24" s="1404"/>
      <c r="H24" s="2543"/>
      <c r="I24" s="1404"/>
      <c r="J24" s="1076"/>
      <c r="K24" s="2181"/>
      <c r="L24" s="2539"/>
      <c r="M24" s="1405"/>
    </row>
    <row r="25" spans="1:13" ht="21" customHeight="1">
      <c r="A25" s="70" t="s">
        <v>974</v>
      </c>
      <c r="B25" s="1404">
        <v>33</v>
      </c>
      <c r="C25" s="1404">
        <v>30</v>
      </c>
      <c r="D25" s="1404">
        <v>28</v>
      </c>
      <c r="E25" s="1404">
        <v>24</v>
      </c>
      <c r="F25" s="1404">
        <v>30</v>
      </c>
      <c r="G25" s="1404">
        <v>29</v>
      </c>
      <c r="H25" s="2543">
        <v>33</v>
      </c>
      <c r="I25" s="1404">
        <v>37</v>
      </c>
      <c r="J25" s="1076">
        <v>41</v>
      </c>
      <c r="K25" s="2181">
        <v>41</v>
      </c>
      <c r="L25" s="2539">
        <v>57</v>
      </c>
      <c r="M25" s="1405">
        <v>45</v>
      </c>
    </row>
    <row r="26" spans="1:13" ht="21" customHeight="1">
      <c r="A26" s="70" t="s">
        <v>1530</v>
      </c>
      <c r="B26" s="1404"/>
      <c r="C26" s="1404"/>
      <c r="D26" s="1404"/>
      <c r="E26" s="1404"/>
      <c r="F26" s="1404"/>
      <c r="G26" s="1404"/>
      <c r="H26" s="2543"/>
      <c r="I26" s="1404"/>
      <c r="J26" s="1076"/>
      <c r="K26" s="2181"/>
      <c r="L26" s="2539"/>
      <c r="M26" s="1405"/>
    </row>
    <row r="27" spans="1:13" ht="21" customHeight="1">
      <c r="A27" s="70" t="s">
        <v>986</v>
      </c>
      <c r="B27" s="1404">
        <v>81</v>
      </c>
      <c r="C27" s="1404">
        <v>40</v>
      </c>
      <c r="D27" s="1404">
        <v>28</v>
      </c>
      <c r="E27" s="1404">
        <v>31</v>
      </c>
      <c r="F27" s="1404">
        <v>38</v>
      </c>
      <c r="G27" s="1404">
        <v>38</v>
      </c>
      <c r="H27" s="2543">
        <v>41</v>
      </c>
      <c r="I27" s="1404">
        <v>45</v>
      </c>
      <c r="J27" s="1076">
        <v>77</v>
      </c>
      <c r="K27" s="2181">
        <v>52</v>
      </c>
      <c r="L27" s="2539">
        <v>75</v>
      </c>
      <c r="M27" s="1405">
        <v>52</v>
      </c>
    </row>
    <row r="28" spans="1:13" ht="11.25" customHeight="1">
      <c r="A28" s="70"/>
      <c r="B28" s="1404"/>
      <c r="C28" s="1404"/>
      <c r="D28" s="1404"/>
      <c r="E28" s="1404"/>
      <c r="F28" s="1404"/>
      <c r="G28" s="1404"/>
      <c r="H28" s="2543"/>
      <c r="I28" s="1404"/>
      <c r="J28" s="1076"/>
      <c r="K28" s="2181"/>
      <c r="L28" s="2539"/>
      <c r="M28" s="1405"/>
    </row>
    <row r="29" spans="1:13" ht="21" customHeight="1">
      <c r="A29" s="71" t="s">
        <v>987</v>
      </c>
      <c r="B29" s="1404"/>
      <c r="C29" s="1404"/>
      <c r="D29" s="1404"/>
      <c r="E29" s="1404"/>
      <c r="F29" s="1404"/>
      <c r="G29" s="1404"/>
      <c r="H29" s="2543"/>
      <c r="I29" s="1404"/>
      <c r="J29" s="1076"/>
      <c r="K29" s="2181"/>
      <c r="L29" s="2539"/>
      <c r="M29" s="1405"/>
    </row>
    <row r="30" spans="1:13" ht="21" customHeight="1">
      <c r="A30" s="70" t="s">
        <v>971</v>
      </c>
      <c r="B30" s="1404"/>
      <c r="C30" s="1404"/>
      <c r="D30" s="1404"/>
      <c r="E30" s="1404"/>
      <c r="F30" s="1404"/>
      <c r="G30" s="1404"/>
      <c r="H30" s="2543"/>
      <c r="I30" s="1404"/>
      <c r="J30" s="1076"/>
      <c r="K30" s="2181"/>
      <c r="L30" s="2539"/>
      <c r="M30" s="1405"/>
    </row>
    <row r="31" spans="1:13" ht="21" customHeight="1">
      <c r="A31" s="70" t="s">
        <v>972</v>
      </c>
      <c r="B31" s="1404">
        <v>163</v>
      </c>
      <c r="C31" s="1404">
        <v>174</v>
      </c>
      <c r="D31" s="1404">
        <v>182</v>
      </c>
      <c r="E31" s="1404">
        <v>184</v>
      </c>
      <c r="F31" s="1404">
        <v>190</v>
      </c>
      <c r="G31" s="1404">
        <v>199</v>
      </c>
      <c r="H31" s="2543">
        <v>210</v>
      </c>
      <c r="I31" s="1404">
        <v>218</v>
      </c>
      <c r="J31" s="1076">
        <v>228</v>
      </c>
      <c r="K31" s="2181">
        <v>253</v>
      </c>
      <c r="L31" s="2539">
        <v>252</v>
      </c>
      <c r="M31" s="1405">
        <v>256</v>
      </c>
    </row>
    <row r="32" spans="1:13" ht="21" customHeight="1">
      <c r="A32" s="70" t="s">
        <v>973</v>
      </c>
      <c r="B32" s="1404"/>
      <c r="C32" s="1404"/>
      <c r="D32" s="1404"/>
      <c r="E32" s="1404"/>
      <c r="F32" s="1404"/>
      <c r="G32" s="1404"/>
      <c r="H32" s="2543"/>
      <c r="I32" s="1404"/>
      <c r="J32" s="1076"/>
      <c r="K32" s="2181"/>
      <c r="L32" s="2539"/>
      <c r="M32" s="1405"/>
    </row>
    <row r="33" spans="1:13" ht="21" customHeight="1">
      <c r="A33" s="70" t="s">
        <v>974</v>
      </c>
      <c r="B33" s="1404">
        <v>81</v>
      </c>
      <c r="C33" s="1404">
        <v>105</v>
      </c>
      <c r="D33" s="1404">
        <v>93</v>
      </c>
      <c r="E33" s="1404">
        <v>86</v>
      </c>
      <c r="F33" s="1404">
        <v>74</v>
      </c>
      <c r="G33" s="1404">
        <v>115</v>
      </c>
      <c r="H33" s="2543">
        <v>133</v>
      </c>
      <c r="I33" s="1404">
        <v>150</v>
      </c>
      <c r="J33" s="1076">
        <v>156</v>
      </c>
      <c r="K33" s="2181">
        <v>149</v>
      </c>
      <c r="L33" s="2539">
        <v>170</v>
      </c>
      <c r="M33" s="1405">
        <v>198</v>
      </c>
    </row>
    <row r="34" spans="1:13" ht="21" customHeight="1">
      <c r="A34" s="70" t="s">
        <v>975</v>
      </c>
      <c r="B34" s="1404"/>
      <c r="C34" s="1404"/>
      <c r="D34" s="1404"/>
      <c r="E34" s="1404"/>
      <c r="F34" s="1404"/>
      <c r="G34" s="1404"/>
      <c r="H34" s="2543"/>
      <c r="I34" s="1404"/>
      <c r="J34" s="1076"/>
      <c r="K34" s="2181"/>
      <c r="L34" s="2539"/>
      <c r="M34" s="1405"/>
    </row>
    <row r="35" spans="1:13" ht="21" customHeight="1">
      <c r="A35" s="70" t="s">
        <v>976</v>
      </c>
      <c r="B35" s="1404">
        <v>2</v>
      </c>
      <c r="C35" s="1404">
        <v>2</v>
      </c>
      <c r="D35" s="1404">
        <v>2</v>
      </c>
      <c r="E35" s="1404" t="s">
        <v>464</v>
      </c>
      <c r="F35" s="1404" t="s">
        <v>464</v>
      </c>
      <c r="G35" s="1404" t="s">
        <v>464</v>
      </c>
      <c r="H35" s="2543" t="s">
        <v>464</v>
      </c>
      <c r="I35" s="1404" t="s">
        <v>464</v>
      </c>
      <c r="J35" s="1076" t="s">
        <v>464</v>
      </c>
      <c r="K35" s="2181" t="s">
        <v>464</v>
      </c>
      <c r="L35" s="2539" t="s">
        <v>464</v>
      </c>
      <c r="M35" s="1405" t="s">
        <v>464</v>
      </c>
    </row>
    <row r="36" spans="1:13" ht="21" customHeight="1">
      <c r="A36" s="70" t="s">
        <v>977</v>
      </c>
      <c r="B36" s="1404"/>
      <c r="C36" s="1404"/>
      <c r="D36" s="1404"/>
      <c r="E36" s="1404"/>
      <c r="F36" s="1404"/>
      <c r="G36" s="1404"/>
      <c r="H36" s="2543"/>
      <c r="I36" s="1404"/>
      <c r="J36" s="1076"/>
      <c r="K36" s="2181"/>
      <c r="L36" s="2539"/>
      <c r="M36" s="1405"/>
    </row>
    <row r="37" spans="1:13" ht="21" customHeight="1">
      <c r="A37" s="70" t="s">
        <v>978</v>
      </c>
      <c r="B37" s="1404" t="s">
        <v>464</v>
      </c>
      <c r="C37" s="1404" t="s">
        <v>464</v>
      </c>
      <c r="D37" s="1404" t="s">
        <v>464</v>
      </c>
      <c r="E37" s="1404" t="s">
        <v>464</v>
      </c>
      <c r="F37" s="1404" t="s">
        <v>464</v>
      </c>
      <c r="G37" s="1404" t="s">
        <v>464</v>
      </c>
      <c r="H37" s="2543" t="s">
        <v>464</v>
      </c>
      <c r="I37" s="1404" t="s">
        <v>464</v>
      </c>
      <c r="J37" s="1076" t="s">
        <v>464</v>
      </c>
      <c r="K37" s="2181" t="s">
        <v>464</v>
      </c>
      <c r="L37" s="2539" t="s">
        <v>464</v>
      </c>
      <c r="M37" s="1405" t="s">
        <v>464</v>
      </c>
    </row>
    <row r="38" spans="1:13" ht="21" customHeight="1">
      <c r="A38" s="70" t="s">
        <v>979</v>
      </c>
      <c r="B38" s="1404"/>
      <c r="C38" s="1404"/>
      <c r="D38" s="1404"/>
      <c r="E38" s="1404"/>
      <c r="F38" s="1404"/>
      <c r="G38" s="1404"/>
      <c r="H38" s="2543"/>
      <c r="I38" s="1404"/>
      <c r="J38" s="1076"/>
      <c r="K38" s="2181"/>
      <c r="L38" s="2539"/>
      <c r="M38" s="1405"/>
    </row>
    <row r="39" spans="1:13" ht="21" customHeight="1">
      <c r="A39" s="70" t="s">
        <v>980</v>
      </c>
      <c r="B39" s="1404">
        <v>158</v>
      </c>
      <c r="C39" s="1404">
        <v>112</v>
      </c>
      <c r="D39" s="1404">
        <v>122</v>
      </c>
      <c r="E39" s="1404">
        <v>107</v>
      </c>
      <c r="F39" s="1404">
        <v>91</v>
      </c>
      <c r="G39" s="1404">
        <v>149</v>
      </c>
      <c r="H39" s="2543">
        <v>177</v>
      </c>
      <c r="I39" s="1404">
        <v>190</v>
      </c>
      <c r="J39" s="1076">
        <v>207</v>
      </c>
      <c r="K39" s="2181">
        <v>216</v>
      </c>
      <c r="L39" s="2539">
        <v>219</v>
      </c>
      <c r="M39" s="1405">
        <v>198</v>
      </c>
    </row>
    <row r="40" spans="1:13" ht="21" customHeight="1">
      <c r="A40" s="70" t="s">
        <v>981</v>
      </c>
      <c r="B40" s="1404"/>
      <c r="C40" s="1404"/>
      <c r="D40" s="1404"/>
      <c r="E40" s="1404"/>
      <c r="F40" s="1404"/>
      <c r="G40" s="1404"/>
      <c r="H40" s="2543"/>
      <c r="I40" s="1404"/>
      <c r="J40" s="1076"/>
      <c r="K40" s="2181"/>
      <c r="L40" s="2539"/>
      <c r="M40" s="1405"/>
    </row>
    <row r="41" spans="1:13" ht="21" customHeight="1">
      <c r="A41" s="70" t="s">
        <v>982</v>
      </c>
      <c r="B41" s="1404">
        <v>1</v>
      </c>
      <c r="C41" s="1404">
        <v>1</v>
      </c>
      <c r="D41" s="1404">
        <v>1</v>
      </c>
      <c r="E41" s="1404">
        <v>1</v>
      </c>
      <c r="F41" s="1404">
        <v>2</v>
      </c>
      <c r="G41" s="1404">
        <v>2</v>
      </c>
      <c r="H41" s="2543" t="s">
        <v>464</v>
      </c>
      <c r="I41" s="1404" t="s">
        <v>464</v>
      </c>
      <c r="J41" s="1076" t="s">
        <v>464</v>
      </c>
      <c r="K41" s="2181" t="s">
        <v>464</v>
      </c>
      <c r="L41" s="2539" t="s">
        <v>464</v>
      </c>
      <c r="M41" s="1405" t="s">
        <v>464</v>
      </c>
    </row>
    <row r="42" spans="1:13" ht="21" customHeight="1">
      <c r="A42" s="70" t="s">
        <v>983</v>
      </c>
      <c r="B42" s="1404"/>
      <c r="C42" s="1404"/>
      <c r="D42" s="1404"/>
      <c r="E42" s="1404"/>
      <c r="F42" s="1404"/>
      <c r="G42" s="1404"/>
      <c r="H42" s="2543"/>
      <c r="I42" s="1404"/>
      <c r="J42" s="1076"/>
      <c r="K42" s="2181"/>
      <c r="L42" s="2539"/>
      <c r="M42" s="1405"/>
    </row>
    <row r="43" spans="1:13" ht="21" customHeight="1">
      <c r="A43" s="70" t="s">
        <v>984</v>
      </c>
      <c r="B43" s="1404" t="s">
        <v>464</v>
      </c>
      <c r="C43" s="1404" t="s">
        <v>464</v>
      </c>
      <c r="D43" s="1404" t="s">
        <v>464</v>
      </c>
      <c r="E43" s="1404" t="s">
        <v>464</v>
      </c>
      <c r="F43" s="1404">
        <v>1</v>
      </c>
      <c r="G43" s="1404">
        <v>1</v>
      </c>
      <c r="H43" s="2543" t="s">
        <v>464</v>
      </c>
      <c r="I43" s="1404" t="s">
        <v>464</v>
      </c>
      <c r="J43" s="1076" t="s">
        <v>464</v>
      </c>
      <c r="K43" s="2181" t="s">
        <v>464</v>
      </c>
      <c r="L43" s="2539" t="s">
        <v>464</v>
      </c>
      <c r="M43" s="1405" t="s">
        <v>464</v>
      </c>
    </row>
    <row r="44" spans="1:13" ht="11.25" customHeight="1">
      <c r="A44" s="70"/>
      <c r="B44" s="1404"/>
      <c r="C44" s="1404"/>
      <c r="D44" s="1404"/>
      <c r="E44" s="1404"/>
      <c r="F44" s="1404"/>
      <c r="G44" s="1404"/>
      <c r="H44" s="2543"/>
      <c r="I44" s="1404"/>
      <c r="J44" s="1076"/>
      <c r="K44" s="2181"/>
      <c r="L44" s="2539"/>
      <c r="M44" s="1405"/>
    </row>
    <row r="45" spans="1:13" ht="21" customHeight="1">
      <c r="A45" s="71" t="s">
        <v>988</v>
      </c>
      <c r="B45" s="1404"/>
      <c r="C45" s="1404"/>
      <c r="D45" s="1404"/>
      <c r="E45" s="1404"/>
      <c r="F45" s="1404"/>
      <c r="G45" s="1404"/>
      <c r="H45" s="2543"/>
      <c r="I45" s="1404"/>
      <c r="J45" s="1076"/>
      <c r="K45" s="2181"/>
      <c r="L45" s="2539"/>
      <c r="M45" s="1405"/>
    </row>
    <row r="46" spans="1:13" ht="21" customHeight="1">
      <c r="A46" s="70" t="s">
        <v>971</v>
      </c>
      <c r="B46" s="1404"/>
      <c r="C46" s="1404"/>
      <c r="D46" s="1404"/>
      <c r="E46" s="1404"/>
      <c r="F46" s="1404"/>
      <c r="G46" s="1404"/>
      <c r="H46" s="2543"/>
      <c r="I46" s="1404"/>
      <c r="J46" s="1076"/>
      <c r="K46" s="2181"/>
      <c r="L46" s="2539"/>
      <c r="M46" s="1405"/>
    </row>
    <row r="47" spans="1:13" ht="21" customHeight="1">
      <c r="A47" s="70" t="s">
        <v>972</v>
      </c>
      <c r="B47" s="1404">
        <v>83</v>
      </c>
      <c r="C47" s="1404">
        <v>81</v>
      </c>
      <c r="D47" s="1404">
        <v>88</v>
      </c>
      <c r="E47" s="1404">
        <v>94</v>
      </c>
      <c r="F47" s="1404">
        <v>97</v>
      </c>
      <c r="G47" s="1404">
        <v>103</v>
      </c>
      <c r="H47" s="2543">
        <v>102</v>
      </c>
      <c r="I47" s="1404">
        <v>104</v>
      </c>
      <c r="J47" s="1076">
        <v>113</v>
      </c>
      <c r="K47" s="2181">
        <v>129</v>
      </c>
      <c r="L47" s="2539">
        <v>111</v>
      </c>
      <c r="M47" s="1405">
        <v>119</v>
      </c>
    </row>
    <row r="48" spans="1:13" ht="21" customHeight="1">
      <c r="A48" s="70" t="s">
        <v>973</v>
      </c>
      <c r="B48" s="1404"/>
      <c r="C48" s="1404"/>
      <c r="D48" s="1404"/>
      <c r="E48" s="1404"/>
      <c r="F48" s="1404"/>
      <c r="G48" s="1404"/>
      <c r="H48" s="2543"/>
      <c r="I48" s="1404"/>
      <c r="J48" s="1076"/>
      <c r="K48" s="2181"/>
      <c r="L48" s="2539"/>
      <c r="M48" s="1405"/>
    </row>
    <row r="49" spans="1:13" ht="21" customHeight="1">
      <c r="A49" s="70" t="s">
        <v>974</v>
      </c>
      <c r="B49" s="1404">
        <v>52</v>
      </c>
      <c r="C49" s="1404">
        <v>55</v>
      </c>
      <c r="D49" s="1404">
        <v>54</v>
      </c>
      <c r="E49" s="1404">
        <v>53</v>
      </c>
      <c r="F49" s="1404">
        <v>60</v>
      </c>
      <c r="G49" s="1404">
        <v>60</v>
      </c>
      <c r="H49" s="2543">
        <v>63</v>
      </c>
      <c r="I49" s="1404">
        <v>74</v>
      </c>
      <c r="J49" s="1076">
        <v>80</v>
      </c>
      <c r="K49" s="2181">
        <v>79</v>
      </c>
      <c r="L49" s="2539">
        <v>61</v>
      </c>
      <c r="M49" s="1405">
        <v>47</v>
      </c>
    </row>
    <row r="50" spans="1:13" ht="21" customHeight="1">
      <c r="A50" s="70" t="s">
        <v>975</v>
      </c>
      <c r="B50" s="1404"/>
      <c r="C50" s="1404"/>
      <c r="D50" s="1404"/>
      <c r="E50" s="1404"/>
      <c r="F50" s="1404"/>
      <c r="G50" s="1404"/>
      <c r="H50" s="2543"/>
      <c r="I50" s="1404"/>
      <c r="J50" s="1076"/>
      <c r="K50" s="2181"/>
      <c r="L50" s="2539"/>
      <c r="M50" s="1405"/>
    </row>
    <row r="51" spans="1:13" ht="21" customHeight="1">
      <c r="A51" s="70" t="s">
        <v>976</v>
      </c>
      <c r="B51" s="1404">
        <v>2</v>
      </c>
      <c r="C51" s="1404">
        <v>2</v>
      </c>
      <c r="D51" s="1404">
        <v>2</v>
      </c>
      <c r="E51" s="1404" t="s">
        <v>464</v>
      </c>
      <c r="F51" s="1404" t="s">
        <v>464</v>
      </c>
      <c r="G51" s="1404" t="s">
        <v>464</v>
      </c>
      <c r="H51" s="2543" t="s">
        <v>464</v>
      </c>
      <c r="I51" s="1404" t="s">
        <v>464</v>
      </c>
      <c r="J51" s="1076" t="s">
        <v>464</v>
      </c>
      <c r="K51" s="2181" t="s">
        <v>464</v>
      </c>
      <c r="L51" s="2539" t="s">
        <v>464</v>
      </c>
      <c r="M51" s="1405" t="s">
        <v>464</v>
      </c>
    </row>
    <row r="52" spans="1:13" ht="21" customHeight="1">
      <c r="A52" s="70" t="s">
        <v>977</v>
      </c>
      <c r="B52" s="1404"/>
      <c r="C52" s="1404"/>
      <c r="D52" s="1404"/>
      <c r="E52" s="1404"/>
      <c r="F52" s="1404"/>
      <c r="G52" s="1404"/>
      <c r="H52" s="2543"/>
      <c r="I52" s="1404"/>
      <c r="J52" s="1076"/>
      <c r="K52" s="2181"/>
      <c r="L52" s="2539"/>
      <c r="M52" s="1405"/>
    </row>
    <row r="53" spans="1:13" ht="21" customHeight="1">
      <c r="A53" s="70" t="s">
        <v>978</v>
      </c>
      <c r="B53" s="1404" t="s">
        <v>464</v>
      </c>
      <c r="C53" s="1404" t="s">
        <v>464</v>
      </c>
      <c r="D53" s="1404" t="s">
        <v>464</v>
      </c>
      <c r="E53" s="1404" t="s">
        <v>464</v>
      </c>
      <c r="F53" s="1404" t="s">
        <v>464</v>
      </c>
      <c r="G53" s="1404" t="s">
        <v>464</v>
      </c>
      <c r="H53" s="2543" t="s">
        <v>464</v>
      </c>
      <c r="I53" s="1404" t="s">
        <v>464</v>
      </c>
      <c r="J53" s="1076" t="s">
        <v>464</v>
      </c>
      <c r="K53" s="2181" t="s">
        <v>464</v>
      </c>
      <c r="L53" s="2539" t="s">
        <v>464</v>
      </c>
      <c r="M53" s="1405" t="s">
        <v>464</v>
      </c>
    </row>
    <row r="54" spans="1:13" ht="21" customHeight="1">
      <c r="A54" s="70" t="s">
        <v>979</v>
      </c>
      <c r="B54" s="1404"/>
      <c r="C54" s="1404"/>
      <c r="D54" s="1404"/>
      <c r="E54" s="1404"/>
      <c r="F54" s="1404"/>
      <c r="G54" s="1404"/>
      <c r="H54" s="2543"/>
      <c r="I54" s="1404"/>
      <c r="J54" s="1076"/>
      <c r="K54" s="2181"/>
      <c r="L54" s="2539"/>
      <c r="M54" s="1405"/>
    </row>
    <row r="55" spans="1:13" ht="21" customHeight="1" thickBot="1">
      <c r="A55" s="72" t="s">
        <v>980</v>
      </c>
      <c r="B55" s="1406">
        <v>111</v>
      </c>
      <c r="C55" s="1406">
        <v>75</v>
      </c>
      <c r="D55" s="1406">
        <v>58</v>
      </c>
      <c r="E55" s="1406">
        <v>62</v>
      </c>
      <c r="F55" s="1406">
        <v>59</v>
      </c>
      <c r="G55" s="1406">
        <v>64</v>
      </c>
      <c r="H55" s="2544">
        <v>75</v>
      </c>
      <c r="I55" s="1406">
        <v>90</v>
      </c>
      <c r="J55" s="2177">
        <v>106</v>
      </c>
      <c r="K55" s="2182">
        <v>120</v>
      </c>
      <c r="L55" s="2540">
        <v>87</v>
      </c>
      <c r="M55" s="1407">
        <v>90</v>
      </c>
    </row>
  </sheetData>
  <sheetProtection/>
  <printOptions/>
  <pageMargins left="0.6" right="1" top="1" bottom="1" header="0.5" footer="0.5"/>
  <pageSetup horizontalDpi="300" verticalDpi="300" orientation="portrait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66"/>
  <sheetViews>
    <sheetView zoomScale="75" zoomScaleNormal="75" zoomScalePageLayoutView="0" workbookViewId="0" topLeftCell="A1">
      <selection activeCell="T38" sqref="T38"/>
    </sheetView>
  </sheetViews>
  <sheetFormatPr defaultColWidth="9.7109375" defaultRowHeight="12.75"/>
  <cols>
    <col min="1" max="1" width="16.57421875" style="2245" customWidth="1"/>
    <col min="2" max="4" width="8.8515625" style="2245" customWidth="1"/>
    <col min="5" max="5" width="6.8515625" style="2245" customWidth="1"/>
    <col min="6" max="6" width="10.28125" style="2245" customWidth="1"/>
    <col min="7" max="7" width="10.7109375" style="2245" customWidth="1"/>
    <col min="8" max="8" width="9.28125" style="2245" customWidth="1"/>
    <col min="9" max="9" width="9.28125" style="2183" hidden="1" customWidth="1"/>
    <col min="10" max="10" width="9.140625" style="2245" customWidth="1"/>
    <col min="11" max="11" width="8.140625" style="2245" customWidth="1"/>
    <col min="12" max="12" width="8.8515625" style="2245" customWidth="1"/>
    <col min="13" max="13" width="7.7109375" style="2245" customWidth="1"/>
    <col min="14" max="14" width="6.7109375" style="2245" customWidth="1"/>
    <col min="15" max="15" width="9.421875" style="2245" customWidth="1"/>
    <col min="16" max="16" width="9.00390625" style="2245" customWidth="1"/>
    <col min="17" max="17" width="15.8515625" style="2245" customWidth="1"/>
    <col min="18" max="16384" width="9.7109375" style="155" customWidth="1"/>
  </cols>
  <sheetData>
    <row r="1" s="2245" customFormat="1" ht="18.75" customHeight="1">
      <c r="A1" s="783" t="s">
        <v>989</v>
      </c>
    </row>
    <row r="2" s="2245" customFormat="1" ht="18.75" customHeight="1" thickBot="1">
      <c r="Q2" s="2246" t="s">
        <v>896</v>
      </c>
    </row>
    <row r="3" spans="1:17" s="2245" customFormat="1" ht="18.75" customHeight="1" thickBot="1">
      <c r="A3" s="2247"/>
      <c r="B3" s="2917" t="s">
        <v>719</v>
      </c>
      <c r="C3" s="2918"/>
      <c r="D3" s="2918"/>
      <c r="E3" s="2919"/>
      <c r="F3" s="2248" t="s">
        <v>1639</v>
      </c>
      <c r="G3" s="2249"/>
      <c r="H3" s="2249"/>
      <c r="I3" s="2249"/>
      <c r="J3" s="2250"/>
      <c r="K3" s="2251" t="s">
        <v>990</v>
      </c>
      <c r="L3" s="2251" t="s">
        <v>991</v>
      </c>
      <c r="M3" s="2251" t="s">
        <v>992</v>
      </c>
      <c r="N3" s="2251" t="s">
        <v>993</v>
      </c>
      <c r="O3" s="2251" t="s">
        <v>994</v>
      </c>
      <c r="P3" s="2251" t="s">
        <v>995</v>
      </c>
      <c r="Q3" s="2252"/>
    </row>
    <row r="4" spans="1:17" s="2245" customFormat="1" ht="18.75" customHeight="1" thickBot="1">
      <c r="A4" s="2253" t="s">
        <v>566</v>
      </c>
      <c r="B4" s="2920"/>
      <c r="C4" s="2921"/>
      <c r="D4" s="2921"/>
      <c r="E4" s="2922"/>
      <c r="F4" s="2252" t="s">
        <v>996</v>
      </c>
      <c r="G4" s="2252" t="s">
        <v>997</v>
      </c>
      <c r="H4" s="2252" t="s">
        <v>998</v>
      </c>
      <c r="I4" s="2252"/>
      <c r="J4" s="2252" t="s">
        <v>999</v>
      </c>
      <c r="K4" s="2254"/>
      <c r="L4" s="2254" t="s">
        <v>1000</v>
      </c>
      <c r="M4" s="2254" t="s">
        <v>1001</v>
      </c>
      <c r="N4" s="2254" t="s">
        <v>1002</v>
      </c>
      <c r="O4" s="2254" t="s">
        <v>1003</v>
      </c>
      <c r="P4" s="2254" t="s">
        <v>1004</v>
      </c>
      <c r="Q4" s="2254" t="s">
        <v>570</v>
      </c>
    </row>
    <row r="5" spans="1:17" s="2245" customFormat="1" ht="18.75" customHeight="1">
      <c r="A5" s="2253" t="s">
        <v>571</v>
      </c>
      <c r="B5" s="2252" t="s">
        <v>1005</v>
      </c>
      <c r="C5" s="2252" t="s">
        <v>1006</v>
      </c>
      <c r="D5" s="2252" t="s">
        <v>1007</v>
      </c>
      <c r="E5" s="2252" t="s">
        <v>1008</v>
      </c>
      <c r="F5" s="2255" t="s">
        <v>1009</v>
      </c>
      <c r="G5" s="2255" t="s">
        <v>1010</v>
      </c>
      <c r="H5" s="2255" t="s">
        <v>1011</v>
      </c>
      <c r="I5" s="2255"/>
      <c r="J5" s="2255" t="s">
        <v>1012</v>
      </c>
      <c r="K5" s="2255" t="s">
        <v>1013</v>
      </c>
      <c r="L5" s="2255" t="s">
        <v>1014</v>
      </c>
      <c r="M5" s="2255" t="s">
        <v>1015</v>
      </c>
      <c r="N5" s="2255" t="s">
        <v>1016</v>
      </c>
      <c r="O5" s="2255" t="s">
        <v>1017</v>
      </c>
      <c r="P5" s="2255" t="s">
        <v>1018</v>
      </c>
      <c r="Q5" s="2254" t="s">
        <v>575</v>
      </c>
    </row>
    <row r="6" spans="1:17" s="2245" customFormat="1" ht="18.75" customHeight="1" thickBot="1">
      <c r="A6" s="2253"/>
      <c r="B6" s="2255" t="s">
        <v>1019</v>
      </c>
      <c r="C6" s="2255" t="s">
        <v>1020</v>
      </c>
      <c r="D6" s="2255" t="s">
        <v>1021</v>
      </c>
      <c r="E6" s="2255" t="s">
        <v>1017</v>
      </c>
      <c r="F6" s="2255" t="s">
        <v>1022</v>
      </c>
      <c r="G6" s="2255" t="s">
        <v>1023</v>
      </c>
      <c r="H6" s="2255" t="s">
        <v>1024</v>
      </c>
      <c r="I6" s="2255"/>
      <c r="J6" s="2255" t="s">
        <v>1024</v>
      </c>
      <c r="K6" s="2255"/>
      <c r="L6" s="2255" t="s">
        <v>1025</v>
      </c>
      <c r="M6" s="2255" t="s">
        <v>1026</v>
      </c>
      <c r="N6" s="2255" t="s">
        <v>1027</v>
      </c>
      <c r="O6" s="2255" t="s">
        <v>1028</v>
      </c>
      <c r="P6" s="2255" t="s">
        <v>1029</v>
      </c>
      <c r="Q6" s="2254"/>
    </row>
    <row r="7" spans="1:17" s="2260" customFormat="1" ht="18.75" customHeight="1" thickBot="1">
      <c r="A7" s="2256" t="s">
        <v>938</v>
      </c>
      <c r="B7" s="2257">
        <f>SUM(B8+B13+B20+B26+B30)</f>
        <v>194</v>
      </c>
      <c r="C7" s="2257">
        <f aca="true" t="shared" si="0" ref="C7:P7">SUM(C8+C13+C20+C26+C30)</f>
        <v>731</v>
      </c>
      <c r="D7" s="2257">
        <f t="shared" si="0"/>
        <v>3590</v>
      </c>
      <c r="E7" s="2257">
        <f>SUM(E13+E20+E26+E30)</f>
        <v>10</v>
      </c>
      <c r="F7" s="2257">
        <f t="shared" si="0"/>
        <v>1103</v>
      </c>
      <c r="G7" s="2257">
        <f t="shared" si="0"/>
        <v>1973</v>
      </c>
      <c r="H7" s="2257">
        <f>SUM(H26+H30+H20)</f>
        <v>14</v>
      </c>
      <c r="I7" s="2257"/>
      <c r="J7" s="2257">
        <f>SUM(J13+J26+J30+J20)</f>
        <v>154</v>
      </c>
      <c r="K7" s="2257">
        <f t="shared" si="0"/>
        <v>3368</v>
      </c>
      <c r="L7" s="2257">
        <f>SUM(L13+L30+L20+L26)</f>
        <v>19</v>
      </c>
      <c r="M7" s="2257">
        <f>SUM(M8+M13+M26)</f>
        <v>250</v>
      </c>
      <c r="N7" s="2257">
        <f t="shared" si="0"/>
        <v>662</v>
      </c>
      <c r="O7" s="2257">
        <f t="shared" si="0"/>
        <v>2493</v>
      </c>
      <c r="P7" s="2258">
        <f t="shared" si="0"/>
        <v>835</v>
      </c>
      <c r="Q7" s="2259" t="s">
        <v>579</v>
      </c>
    </row>
    <row r="8" spans="1:17" s="2260" customFormat="1" ht="18.75" customHeight="1">
      <c r="A8" s="2261" t="s">
        <v>580</v>
      </c>
      <c r="B8" s="2262">
        <f>SUM(B9:B11)</f>
        <v>40</v>
      </c>
      <c r="C8" s="2262">
        <f>SUM(C9:C11)</f>
        <v>48</v>
      </c>
      <c r="D8" s="2262">
        <f>SUM(D9:D11)</f>
        <v>485</v>
      </c>
      <c r="E8" s="2263" t="s">
        <v>464</v>
      </c>
      <c r="F8" s="2262">
        <f>SUM(F9:F11)</f>
        <v>269</v>
      </c>
      <c r="G8" s="2262">
        <f>SUM(G9:G11)</f>
        <v>292</v>
      </c>
      <c r="H8" s="2263" t="s">
        <v>464</v>
      </c>
      <c r="I8" s="2263"/>
      <c r="J8" s="2263" t="s">
        <v>464</v>
      </c>
      <c r="K8" s="2262">
        <f>SUM(K9:K11)</f>
        <v>504</v>
      </c>
      <c r="L8" s="2263" t="s">
        <v>464</v>
      </c>
      <c r="M8" s="2262">
        <f>SUM(M9:M11)</f>
        <v>31</v>
      </c>
      <c r="N8" s="2262">
        <f>SUM(N9:N11)</f>
        <v>81</v>
      </c>
      <c r="O8" s="2262">
        <f>SUM(O9:O11)</f>
        <v>198</v>
      </c>
      <c r="P8" s="2262">
        <f>SUM(P9:P11)</f>
        <v>92</v>
      </c>
      <c r="Q8" s="2264" t="s">
        <v>581</v>
      </c>
    </row>
    <row r="9" spans="1:17" s="2245" customFormat="1" ht="18.75" customHeight="1">
      <c r="A9" s="2265" t="s">
        <v>582</v>
      </c>
      <c r="B9" s="2266">
        <v>35</v>
      </c>
      <c r="C9" s="2266">
        <v>36</v>
      </c>
      <c r="D9" s="2266">
        <v>67</v>
      </c>
      <c r="E9" s="2267" t="s">
        <v>464</v>
      </c>
      <c r="F9" s="2266">
        <v>42</v>
      </c>
      <c r="G9" s="2266">
        <v>83</v>
      </c>
      <c r="H9" s="2268" t="s">
        <v>464</v>
      </c>
      <c r="I9" s="2268"/>
      <c r="J9" s="2268" t="s">
        <v>464</v>
      </c>
      <c r="K9" s="2266">
        <v>138</v>
      </c>
      <c r="L9" s="2268" t="s">
        <v>464</v>
      </c>
      <c r="M9" s="2266">
        <v>15</v>
      </c>
      <c r="N9" s="2266">
        <v>25</v>
      </c>
      <c r="O9" s="1943">
        <v>138</v>
      </c>
      <c r="P9" s="2266">
        <v>51</v>
      </c>
      <c r="Q9" s="2269" t="s">
        <v>583</v>
      </c>
    </row>
    <row r="10" spans="1:17" s="2245" customFormat="1" ht="18.75" customHeight="1">
      <c r="A10" s="2265" t="s">
        <v>584</v>
      </c>
      <c r="B10" s="2266">
        <v>3</v>
      </c>
      <c r="C10" s="2268" t="s">
        <v>464</v>
      </c>
      <c r="D10" s="2266">
        <v>166</v>
      </c>
      <c r="E10" s="2267" t="s">
        <v>464</v>
      </c>
      <c r="F10" s="2266">
        <v>73</v>
      </c>
      <c r="G10" s="2266">
        <v>55</v>
      </c>
      <c r="H10" s="2268" t="s">
        <v>464</v>
      </c>
      <c r="I10" s="2268"/>
      <c r="J10" s="2268" t="s">
        <v>464</v>
      </c>
      <c r="K10" s="2266">
        <v>112</v>
      </c>
      <c r="L10" s="2268" t="s">
        <v>464</v>
      </c>
      <c r="M10" s="2268" t="s">
        <v>464</v>
      </c>
      <c r="N10" s="2266">
        <v>29</v>
      </c>
      <c r="O10" s="1943">
        <v>60</v>
      </c>
      <c r="P10" s="2268" t="s">
        <v>464</v>
      </c>
      <c r="Q10" s="2269" t="s">
        <v>584</v>
      </c>
    </row>
    <row r="11" spans="1:17" s="2245" customFormat="1" ht="18.75" customHeight="1">
      <c r="A11" s="2265" t="s">
        <v>585</v>
      </c>
      <c r="B11" s="2266">
        <v>2</v>
      </c>
      <c r="C11" s="2266">
        <v>12</v>
      </c>
      <c r="D11" s="2266">
        <v>252</v>
      </c>
      <c r="E11" s="2267" t="s">
        <v>464</v>
      </c>
      <c r="F11" s="2266">
        <v>154</v>
      </c>
      <c r="G11" s="2266">
        <v>154</v>
      </c>
      <c r="H11" s="2268" t="s">
        <v>464</v>
      </c>
      <c r="I11" s="2268"/>
      <c r="J11" s="2268" t="s">
        <v>464</v>
      </c>
      <c r="K11" s="2266">
        <v>254</v>
      </c>
      <c r="L11" s="2268" t="s">
        <v>464</v>
      </c>
      <c r="M11" s="2266">
        <v>16</v>
      </c>
      <c r="N11" s="2266">
        <v>27</v>
      </c>
      <c r="O11" s="1961" t="s">
        <v>464</v>
      </c>
      <c r="P11" s="2266">
        <v>41</v>
      </c>
      <c r="Q11" s="2269" t="s">
        <v>585</v>
      </c>
    </row>
    <row r="12" spans="1:17" s="2245" customFormat="1" ht="18.75" customHeight="1">
      <c r="A12" s="2265"/>
      <c r="B12" s="2266"/>
      <c r="C12" s="2266"/>
      <c r="D12" s="2266"/>
      <c r="E12" s="2270"/>
      <c r="F12" s="2266"/>
      <c r="G12" s="2266"/>
      <c r="H12" s="2266"/>
      <c r="I12" s="2266"/>
      <c r="J12" s="2266"/>
      <c r="K12" s="2266"/>
      <c r="L12" s="2268"/>
      <c r="M12" s="2266"/>
      <c r="N12" s="2266"/>
      <c r="O12" s="1943"/>
      <c r="P12" s="2266"/>
      <c r="Q12" s="2269"/>
    </row>
    <row r="13" spans="1:17" s="2245" customFormat="1" ht="18.75" customHeight="1">
      <c r="A13" s="2271" t="s">
        <v>588</v>
      </c>
      <c r="B13" s="2270">
        <f aca="true" t="shared" si="1" ref="B13:G13">SUM(B14:B18)</f>
        <v>64</v>
      </c>
      <c r="C13" s="2270">
        <f t="shared" si="1"/>
        <v>587</v>
      </c>
      <c r="D13" s="2270">
        <f t="shared" si="1"/>
        <v>653</v>
      </c>
      <c r="E13" s="2270">
        <f t="shared" si="1"/>
        <v>4</v>
      </c>
      <c r="F13" s="2270">
        <f t="shared" si="1"/>
        <v>583</v>
      </c>
      <c r="G13" s="2270">
        <f t="shared" si="1"/>
        <v>723</v>
      </c>
      <c r="H13" s="2267" t="s">
        <v>464</v>
      </c>
      <c r="I13" s="2267"/>
      <c r="J13" s="2270">
        <f aca="true" t="shared" si="2" ref="J13:P13">SUM(J14:J18)</f>
        <v>91</v>
      </c>
      <c r="K13" s="2270">
        <f t="shared" si="2"/>
        <v>1150</v>
      </c>
      <c r="L13" s="2270">
        <f t="shared" si="2"/>
        <v>7</v>
      </c>
      <c r="M13" s="2270">
        <f t="shared" si="2"/>
        <v>218</v>
      </c>
      <c r="N13" s="2270">
        <f t="shared" si="2"/>
        <v>174</v>
      </c>
      <c r="O13" s="2270">
        <f t="shared" si="2"/>
        <v>943</v>
      </c>
      <c r="P13" s="2270">
        <f t="shared" si="2"/>
        <v>380</v>
      </c>
      <c r="Q13" s="2272" t="s">
        <v>589</v>
      </c>
    </row>
    <row r="14" spans="1:17" s="2245" customFormat="1" ht="18.75" customHeight="1">
      <c r="A14" s="2265" t="s">
        <v>590</v>
      </c>
      <c r="B14" s="2266">
        <v>35</v>
      </c>
      <c r="C14" s="2266">
        <v>10</v>
      </c>
      <c r="D14" s="2266">
        <v>271</v>
      </c>
      <c r="E14" s="2268" t="s">
        <v>464</v>
      </c>
      <c r="F14" s="2266">
        <v>120</v>
      </c>
      <c r="G14" s="2266">
        <v>166</v>
      </c>
      <c r="H14" s="2267" t="s">
        <v>464</v>
      </c>
      <c r="I14" s="2267"/>
      <c r="J14" s="2266">
        <v>28</v>
      </c>
      <c r="K14" s="2266">
        <v>225</v>
      </c>
      <c r="L14" s="2268" t="s">
        <v>464</v>
      </c>
      <c r="M14" s="2268" t="s">
        <v>464</v>
      </c>
      <c r="N14" s="2266">
        <v>100</v>
      </c>
      <c r="O14" s="1943">
        <v>230</v>
      </c>
      <c r="P14" s="2266">
        <v>120</v>
      </c>
      <c r="Q14" s="2269" t="s">
        <v>591</v>
      </c>
    </row>
    <row r="15" spans="1:17" s="2245" customFormat="1" ht="18.75" customHeight="1">
      <c r="A15" s="2265" t="s">
        <v>592</v>
      </c>
      <c r="B15" s="2273" t="s">
        <v>464</v>
      </c>
      <c r="C15" s="2273" t="s">
        <v>464</v>
      </c>
      <c r="D15" s="2274">
        <v>162</v>
      </c>
      <c r="E15" s="2268" t="s">
        <v>464</v>
      </c>
      <c r="F15" s="2274">
        <v>48</v>
      </c>
      <c r="G15" s="2274">
        <v>108</v>
      </c>
      <c r="H15" s="2267" t="s">
        <v>464</v>
      </c>
      <c r="I15" s="2267"/>
      <c r="J15" s="2273" t="s">
        <v>464</v>
      </c>
      <c r="K15" s="2274">
        <v>148</v>
      </c>
      <c r="L15" s="2268" t="s">
        <v>464</v>
      </c>
      <c r="M15" s="2268" t="s">
        <v>464</v>
      </c>
      <c r="N15" s="2268" t="s">
        <v>464</v>
      </c>
      <c r="O15" s="942">
        <v>91</v>
      </c>
      <c r="P15" s="2274">
        <v>24</v>
      </c>
      <c r="Q15" s="2269" t="s">
        <v>593</v>
      </c>
    </row>
    <row r="16" spans="1:21" s="2245" customFormat="1" ht="18.75" customHeight="1">
      <c r="A16" s="2265" t="s">
        <v>594</v>
      </c>
      <c r="B16" s="2266">
        <v>10</v>
      </c>
      <c r="C16" s="2266">
        <v>439</v>
      </c>
      <c r="D16" s="2266">
        <v>20</v>
      </c>
      <c r="E16" s="2266">
        <v>2</v>
      </c>
      <c r="F16" s="2266">
        <v>222</v>
      </c>
      <c r="G16" s="2266">
        <v>297</v>
      </c>
      <c r="H16" s="2267" t="s">
        <v>464</v>
      </c>
      <c r="I16" s="2267"/>
      <c r="J16" s="2266">
        <v>29</v>
      </c>
      <c r="K16" s="2266">
        <v>355</v>
      </c>
      <c r="L16" s="2268">
        <v>3</v>
      </c>
      <c r="M16" s="2268">
        <v>22</v>
      </c>
      <c r="N16" s="2266">
        <v>74</v>
      </c>
      <c r="O16" s="1943">
        <v>262</v>
      </c>
      <c r="P16" s="2266">
        <v>60</v>
      </c>
      <c r="Q16" s="2269" t="s">
        <v>594</v>
      </c>
      <c r="U16" s="952"/>
    </row>
    <row r="17" spans="1:17" s="2245" customFormat="1" ht="18.75" customHeight="1">
      <c r="A17" s="2265" t="s">
        <v>599</v>
      </c>
      <c r="B17" s="2268">
        <v>17</v>
      </c>
      <c r="C17" s="2268">
        <v>79</v>
      </c>
      <c r="D17" s="2266">
        <v>91</v>
      </c>
      <c r="E17" s="2267" t="s">
        <v>464</v>
      </c>
      <c r="F17" s="2266">
        <v>81</v>
      </c>
      <c r="G17" s="2266">
        <v>74</v>
      </c>
      <c r="H17" s="2267" t="s">
        <v>464</v>
      </c>
      <c r="I17" s="2267"/>
      <c r="J17" s="2268">
        <v>34</v>
      </c>
      <c r="K17" s="2266">
        <v>201</v>
      </c>
      <c r="L17" s="2268" t="s">
        <v>464</v>
      </c>
      <c r="M17" s="2268">
        <v>56</v>
      </c>
      <c r="N17" s="2268" t="s">
        <v>464</v>
      </c>
      <c r="O17" s="1943">
        <v>201</v>
      </c>
      <c r="P17" s="2266">
        <v>93</v>
      </c>
      <c r="Q17" s="2269" t="s">
        <v>599</v>
      </c>
    </row>
    <row r="18" spans="1:17" s="2245" customFormat="1" ht="18.75" customHeight="1">
      <c r="A18" s="2265" t="s">
        <v>598</v>
      </c>
      <c r="B18" s="2266">
        <v>2</v>
      </c>
      <c r="C18" s="2266">
        <v>59</v>
      </c>
      <c r="D18" s="2266">
        <v>109</v>
      </c>
      <c r="E18" s="2266">
        <v>2</v>
      </c>
      <c r="F18" s="2266">
        <v>112</v>
      </c>
      <c r="G18" s="2266">
        <v>78</v>
      </c>
      <c r="H18" s="2267" t="s">
        <v>464</v>
      </c>
      <c r="I18" s="2267"/>
      <c r="J18" s="2267" t="s">
        <v>464</v>
      </c>
      <c r="K18" s="2266">
        <v>221</v>
      </c>
      <c r="L18" s="2266">
        <v>4</v>
      </c>
      <c r="M18" s="2266">
        <v>140</v>
      </c>
      <c r="N18" s="2268" t="s">
        <v>464</v>
      </c>
      <c r="O18" s="1943">
        <v>159</v>
      </c>
      <c r="P18" s="2266">
        <v>83</v>
      </c>
      <c r="Q18" s="2269" t="s">
        <v>598</v>
      </c>
    </row>
    <row r="19" spans="1:17" s="2245" customFormat="1" ht="18.75" customHeight="1">
      <c r="A19" s="2275"/>
      <c r="B19" s="2266"/>
      <c r="C19" s="2268"/>
      <c r="D19" s="2266"/>
      <c r="E19" s="2270"/>
      <c r="F19" s="2266"/>
      <c r="G19" s="2266"/>
      <c r="H19" s="2266"/>
      <c r="I19" s="2266"/>
      <c r="J19" s="2266"/>
      <c r="K19" s="2266"/>
      <c r="L19" s="2268"/>
      <c r="M19" s="2266"/>
      <c r="N19" s="2268"/>
      <c r="O19" s="1943"/>
      <c r="P19" s="2266"/>
      <c r="Q19" s="2269"/>
    </row>
    <row r="20" spans="1:17" s="2245" customFormat="1" ht="18.75" customHeight="1">
      <c r="A20" s="2271" t="s">
        <v>601</v>
      </c>
      <c r="B20" s="2267">
        <f aca="true" t="shared" si="3" ref="B20:G20">SUM(B21:B24)</f>
        <v>38</v>
      </c>
      <c r="C20" s="2267">
        <f t="shared" si="3"/>
        <v>63</v>
      </c>
      <c r="D20" s="2267">
        <f t="shared" si="3"/>
        <v>437</v>
      </c>
      <c r="E20" s="2267">
        <f t="shared" si="3"/>
        <v>1</v>
      </c>
      <c r="F20" s="2267">
        <f t="shared" si="3"/>
        <v>102</v>
      </c>
      <c r="G20" s="2267">
        <f t="shared" si="3"/>
        <v>158</v>
      </c>
      <c r="H20" s="2267">
        <f>SUM(H21:H24)</f>
        <v>8</v>
      </c>
      <c r="I20" s="2267">
        <f>SUM(I21:I24)</f>
        <v>0</v>
      </c>
      <c r="J20" s="2267">
        <f>SUM(J21:J24)</f>
        <v>6</v>
      </c>
      <c r="K20" s="2267">
        <f>SUM(K21:K24)</f>
        <v>322</v>
      </c>
      <c r="L20" s="2267">
        <f>SUM(L21:L24)</f>
        <v>5</v>
      </c>
      <c r="M20" s="2267" t="s">
        <v>464</v>
      </c>
      <c r="N20" s="2267">
        <f>SUM(N21:N24)</f>
        <v>97</v>
      </c>
      <c r="O20" s="2267">
        <f>SUM(O21:O24)</f>
        <v>324</v>
      </c>
      <c r="P20" s="2267">
        <f>SUM(P21:P24)</f>
        <v>109</v>
      </c>
      <c r="Q20" s="2272" t="s">
        <v>602</v>
      </c>
    </row>
    <row r="21" spans="1:17" s="2245" customFormat="1" ht="18.75" customHeight="1">
      <c r="A21" s="2265" t="s">
        <v>603</v>
      </c>
      <c r="B21" s="2268" t="s">
        <v>464</v>
      </c>
      <c r="C21" s="2268" t="s">
        <v>464</v>
      </c>
      <c r="D21" s="2268">
        <v>74</v>
      </c>
      <c r="E21" s="2268" t="s">
        <v>464</v>
      </c>
      <c r="F21" s="2268">
        <v>59</v>
      </c>
      <c r="G21" s="2268" t="s">
        <v>464</v>
      </c>
      <c r="H21" s="2268">
        <v>8</v>
      </c>
      <c r="I21" s="2268"/>
      <c r="J21" s="2268">
        <v>6</v>
      </c>
      <c r="K21" s="2268">
        <v>50</v>
      </c>
      <c r="L21" s="2268">
        <v>2</v>
      </c>
      <c r="M21" s="2268" t="s">
        <v>464</v>
      </c>
      <c r="N21" s="2268">
        <v>23</v>
      </c>
      <c r="O21" s="2268">
        <v>74</v>
      </c>
      <c r="P21" s="2268">
        <v>70</v>
      </c>
      <c r="Q21" s="2269" t="s">
        <v>604</v>
      </c>
    </row>
    <row r="22" spans="1:17" s="2245" customFormat="1" ht="18.75" customHeight="1">
      <c r="A22" s="2265" t="s">
        <v>605</v>
      </c>
      <c r="B22" s="2266">
        <v>27</v>
      </c>
      <c r="C22" s="2268">
        <v>56</v>
      </c>
      <c r="D22" s="2266">
        <v>56</v>
      </c>
      <c r="E22" s="2268" t="s">
        <v>464</v>
      </c>
      <c r="F22" s="2268" t="s">
        <v>464</v>
      </c>
      <c r="G22" s="2268" t="s">
        <v>464</v>
      </c>
      <c r="H22" s="2268" t="s">
        <v>464</v>
      </c>
      <c r="I22" s="2268"/>
      <c r="J22" s="2268" t="s">
        <v>464</v>
      </c>
      <c r="K22" s="2266">
        <v>12</v>
      </c>
      <c r="L22" s="2268">
        <v>3</v>
      </c>
      <c r="M22" s="2268" t="s">
        <v>464</v>
      </c>
      <c r="N22" s="2268">
        <v>51</v>
      </c>
      <c r="O22" s="2268" t="s">
        <v>464</v>
      </c>
      <c r="P22" s="2268" t="s">
        <v>464</v>
      </c>
      <c r="Q22" s="2269" t="s">
        <v>606</v>
      </c>
    </row>
    <row r="23" spans="1:17" s="2245" customFormat="1" ht="18.75" customHeight="1">
      <c r="A23" s="2265" t="s">
        <v>607</v>
      </c>
      <c r="B23" s="2266">
        <v>7</v>
      </c>
      <c r="C23" s="2266">
        <v>7</v>
      </c>
      <c r="D23" s="2266">
        <v>119</v>
      </c>
      <c r="E23" s="2268" t="s">
        <v>464</v>
      </c>
      <c r="F23" s="2266">
        <v>9</v>
      </c>
      <c r="G23" s="2266">
        <v>69</v>
      </c>
      <c r="H23" s="2268" t="s">
        <v>464</v>
      </c>
      <c r="I23" s="2268"/>
      <c r="J23" s="2268" t="s">
        <v>464</v>
      </c>
      <c r="K23" s="2266">
        <v>115</v>
      </c>
      <c r="L23" s="2268" t="s">
        <v>464</v>
      </c>
      <c r="M23" s="2268" t="s">
        <v>464</v>
      </c>
      <c r="N23" s="2268">
        <v>14</v>
      </c>
      <c r="O23" s="1943">
        <v>109</v>
      </c>
      <c r="P23" s="2268" t="s">
        <v>464</v>
      </c>
      <c r="Q23" s="2269" t="s">
        <v>607</v>
      </c>
    </row>
    <row r="24" spans="1:17" s="2245" customFormat="1" ht="18.75" customHeight="1">
      <c r="A24" s="2265" t="s">
        <v>608</v>
      </c>
      <c r="B24" s="2266">
        <v>4</v>
      </c>
      <c r="C24" s="2268" t="s">
        <v>464</v>
      </c>
      <c r="D24" s="2266">
        <v>188</v>
      </c>
      <c r="E24" s="2266">
        <v>1</v>
      </c>
      <c r="F24" s="2266">
        <v>34</v>
      </c>
      <c r="G24" s="2266">
        <v>89</v>
      </c>
      <c r="H24" s="2268" t="s">
        <v>464</v>
      </c>
      <c r="I24" s="2268"/>
      <c r="J24" s="2268" t="s">
        <v>464</v>
      </c>
      <c r="K24" s="2266">
        <v>145</v>
      </c>
      <c r="L24" s="2268" t="s">
        <v>464</v>
      </c>
      <c r="M24" s="2268" t="s">
        <v>464</v>
      </c>
      <c r="N24" s="2266">
        <v>9</v>
      </c>
      <c r="O24" s="1943">
        <v>141</v>
      </c>
      <c r="P24" s="2266">
        <v>39</v>
      </c>
      <c r="Q24" s="2269" t="s">
        <v>608</v>
      </c>
    </row>
    <row r="25" spans="1:17" s="2260" customFormat="1" ht="18.75" customHeight="1">
      <c r="A25" s="2276"/>
      <c r="B25" s="2277"/>
      <c r="C25" s="2277"/>
      <c r="D25" s="2277"/>
      <c r="E25" s="2277"/>
      <c r="F25" s="2277"/>
      <c r="G25" s="2277"/>
      <c r="H25" s="2268"/>
      <c r="I25" s="2268"/>
      <c r="J25" s="2268"/>
      <c r="K25" s="2277"/>
      <c r="L25" s="2268"/>
      <c r="M25" s="2268"/>
      <c r="N25" s="2277"/>
      <c r="O25" s="2229"/>
      <c r="P25" s="2277"/>
      <c r="Q25" s="2272"/>
    </row>
    <row r="26" spans="1:17" s="2245" customFormat="1" ht="18.75" customHeight="1">
      <c r="A26" s="2276" t="s">
        <v>1286</v>
      </c>
      <c r="B26" s="2270">
        <f aca="true" t="shared" si="4" ref="B26:L26">SUM(B27:B28)</f>
        <v>45</v>
      </c>
      <c r="C26" s="2270">
        <f t="shared" si="4"/>
        <v>17</v>
      </c>
      <c r="D26" s="2270">
        <f t="shared" si="4"/>
        <v>739</v>
      </c>
      <c r="E26" s="2270">
        <f t="shared" si="4"/>
        <v>1</v>
      </c>
      <c r="F26" s="2270">
        <f t="shared" si="4"/>
        <v>41</v>
      </c>
      <c r="G26" s="2270">
        <f t="shared" si="4"/>
        <v>234</v>
      </c>
      <c r="H26" s="2270">
        <f t="shared" si="4"/>
        <v>1</v>
      </c>
      <c r="I26" s="2270"/>
      <c r="J26" s="2270">
        <f t="shared" si="4"/>
        <v>39</v>
      </c>
      <c r="K26" s="2270">
        <f t="shared" si="4"/>
        <v>349</v>
      </c>
      <c r="L26" s="2270">
        <f t="shared" si="4"/>
        <v>1</v>
      </c>
      <c r="M26" s="2270">
        <f>SUM(M27:M28)</f>
        <v>1</v>
      </c>
      <c r="N26" s="2270">
        <f>SUM(N27:N28)</f>
        <v>306</v>
      </c>
      <c r="O26" s="2270">
        <f>SUM(O27:O28)</f>
        <v>320</v>
      </c>
      <c r="P26" s="2270">
        <f>SUM(P27:P28)</f>
        <v>16</v>
      </c>
      <c r="Q26" s="2278" t="s">
        <v>1286</v>
      </c>
    </row>
    <row r="27" spans="1:17" s="2245" customFormat="1" ht="18.75" customHeight="1">
      <c r="A27" s="2275" t="s">
        <v>586</v>
      </c>
      <c r="B27" s="2266">
        <v>19</v>
      </c>
      <c r="C27" s="2268">
        <v>5</v>
      </c>
      <c r="D27" s="2266">
        <v>457</v>
      </c>
      <c r="E27" s="2268" t="s">
        <v>464</v>
      </c>
      <c r="F27" s="2268">
        <v>21</v>
      </c>
      <c r="G27" s="2268">
        <v>142</v>
      </c>
      <c r="H27" s="2268" t="s">
        <v>464</v>
      </c>
      <c r="I27" s="2268"/>
      <c r="J27" s="2268">
        <v>19</v>
      </c>
      <c r="K27" s="2266">
        <v>245</v>
      </c>
      <c r="L27" s="2268">
        <v>1</v>
      </c>
      <c r="M27" s="2268">
        <v>1</v>
      </c>
      <c r="N27" s="2266">
        <v>163</v>
      </c>
      <c r="O27" s="1961">
        <v>189</v>
      </c>
      <c r="P27" s="2268">
        <v>9</v>
      </c>
      <c r="Q27" s="2279" t="s">
        <v>586</v>
      </c>
    </row>
    <row r="28" spans="1:17" s="2245" customFormat="1" ht="18.75" customHeight="1">
      <c r="A28" s="2275" t="s">
        <v>587</v>
      </c>
      <c r="B28" s="2266">
        <v>26</v>
      </c>
      <c r="C28" s="2266">
        <v>12</v>
      </c>
      <c r="D28" s="2266">
        <v>282</v>
      </c>
      <c r="E28" s="2266">
        <v>1</v>
      </c>
      <c r="F28" s="2266">
        <v>20</v>
      </c>
      <c r="G28" s="2266">
        <v>92</v>
      </c>
      <c r="H28" s="2268">
        <v>1</v>
      </c>
      <c r="I28" s="2268"/>
      <c r="J28" s="2268">
        <v>20</v>
      </c>
      <c r="K28" s="2266">
        <v>104</v>
      </c>
      <c r="L28" s="2268" t="s">
        <v>464</v>
      </c>
      <c r="M28" s="2268" t="s">
        <v>464</v>
      </c>
      <c r="N28" s="2266">
        <v>143</v>
      </c>
      <c r="O28" s="1943">
        <v>131</v>
      </c>
      <c r="P28" s="2268">
        <v>7</v>
      </c>
      <c r="Q28" s="2279" t="s">
        <v>587</v>
      </c>
    </row>
    <row r="29" spans="1:17" s="2245" customFormat="1" ht="18.75" customHeight="1">
      <c r="A29" s="2275"/>
      <c r="B29" s="2266"/>
      <c r="C29" s="2268"/>
      <c r="D29" s="2266"/>
      <c r="E29" s="2266"/>
      <c r="F29" s="2266"/>
      <c r="G29" s="2266"/>
      <c r="H29" s="2268"/>
      <c r="I29" s="2268"/>
      <c r="J29" s="2268"/>
      <c r="K29" s="2266"/>
      <c r="L29" s="2268"/>
      <c r="M29" s="2268"/>
      <c r="N29" s="2266"/>
      <c r="O29" s="1943"/>
      <c r="P29" s="2266"/>
      <c r="Q29" s="2269"/>
    </row>
    <row r="30" spans="1:17" s="787" customFormat="1" ht="18.75" customHeight="1">
      <c r="A30" s="2276" t="s">
        <v>1287</v>
      </c>
      <c r="B30" s="2270">
        <f aca="true" t="shared" si="5" ref="B30:L30">SUM(B31:B33)</f>
        <v>7</v>
      </c>
      <c r="C30" s="2270">
        <f t="shared" si="5"/>
        <v>16</v>
      </c>
      <c r="D30" s="2270">
        <f t="shared" si="5"/>
        <v>1276</v>
      </c>
      <c r="E30" s="2270">
        <f t="shared" si="5"/>
        <v>4</v>
      </c>
      <c r="F30" s="2270">
        <f t="shared" si="5"/>
        <v>108</v>
      </c>
      <c r="G30" s="2270">
        <f t="shared" si="5"/>
        <v>566</v>
      </c>
      <c r="H30" s="2270">
        <f t="shared" si="5"/>
        <v>5</v>
      </c>
      <c r="I30" s="2270"/>
      <c r="J30" s="2270">
        <f t="shared" si="5"/>
        <v>18</v>
      </c>
      <c r="K30" s="2270">
        <f t="shared" si="5"/>
        <v>1043</v>
      </c>
      <c r="L30" s="2270">
        <f t="shared" si="5"/>
        <v>6</v>
      </c>
      <c r="M30" s="2267" t="s">
        <v>464</v>
      </c>
      <c r="N30" s="2270">
        <f>SUM(N31:N33)</f>
        <v>4</v>
      </c>
      <c r="O30" s="2270">
        <f>SUM(O31:O33)</f>
        <v>708</v>
      </c>
      <c r="P30" s="2270">
        <f>SUM(P31:P33)</f>
        <v>238</v>
      </c>
      <c r="Q30" s="2272" t="s">
        <v>1287</v>
      </c>
    </row>
    <row r="31" spans="1:17" s="787" customFormat="1" ht="18.75" customHeight="1">
      <c r="A31" s="2275" t="s">
        <v>1273</v>
      </c>
      <c r="B31" s="2266">
        <v>7</v>
      </c>
      <c r="C31" s="2266">
        <v>10</v>
      </c>
      <c r="D31" s="2266">
        <v>383</v>
      </c>
      <c r="E31" s="2268">
        <v>4</v>
      </c>
      <c r="F31" s="2266">
        <v>39</v>
      </c>
      <c r="G31" s="2266">
        <v>200</v>
      </c>
      <c r="H31" s="2268" t="s">
        <v>464</v>
      </c>
      <c r="I31" s="2268"/>
      <c r="J31" s="2268" t="s">
        <v>464</v>
      </c>
      <c r="K31" s="2266">
        <v>313</v>
      </c>
      <c r="L31" s="2268" t="s">
        <v>464</v>
      </c>
      <c r="M31" s="2267" t="s">
        <v>464</v>
      </c>
      <c r="N31" s="2266">
        <v>4</v>
      </c>
      <c r="O31" s="1943">
        <v>267</v>
      </c>
      <c r="P31" s="2266">
        <v>164</v>
      </c>
      <c r="Q31" s="2269" t="s">
        <v>1294</v>
      </c>
    </row>
    <row r="32" spans="1:17" s="787" customFormat="1" ht="18.75" customHeight="1">
      <c r="A32" s="2275" t="s">
        <v>596</v>
      </c>
      <c r="B32" s="2268" t="s">
        <v>464</v>
      </c>
      <c r="C32" s="2266">
        <v>6</v>
      </c>
      <c r="D32" s="2266">
        <v>351</v>
      </c>
      <c r="E32" s="2268" t="s">
        <v>464</v>
      </c>
      <c r="F32" s="2266">
        <v>36</v>
      </c>
      <c r="G32" s="2266">
        <v>147</v>
      </c>
      <c r="H32" s="2268" t="s">
        <v>464</v>
      </c>
      <c r="I32" s="2268"/>
      <c r="J32" s="2266">
        <v>1</v>
      </c>
      <c r="K32" s="2266">
        <v>325</v>
      </c>
      <c r="L32" s="2266">
        <v>6</v>
      </c>
      <c r="M32" s="2268" t="s">
        <v>464</v>
      </c>
      <c r="N32" s="2268" t="s">
        <v>464</v>
      </c>
      <c r="O32" s="2268" t="s">
        <v>464</v>
      </c>
      <c r="P32" s="2268" t="s">
        <v>464</v>
      </c>
      <c r="Q32" s="2269" t="s">
        <v>596</v>
      </c>
    </row>
    <row r="33" spans="1:17" s="787" customFormat="1" ht="19.5" customHeight="1" thickBot="1">
      <c r="A33" s="2280" t="s">
        <v>595</v>
      </c>
      <c r="B33" s="2281" t="s">
        <v>464</v>
      </c>
      <c r="C33" s="2281" t="s">
        <v>464</v>
      </c>
      <c r="D33" s="2282">
        <v>542</v>
      </c>
      <c r="E33" s="2281" t="s">
        <v>464</v>
      </c>
      <c r="F33" s="2282">
        <v>33</v>
      </c>
      <c r="G33" s="2282">
        <v>219</v>
      </c>
      <c r="H33" s="2282">
        <v>5</v>
      </c>
      <c r="I33" s="2282"/>
      <c r="J33" s="2282">
        <v>17</v>
      </c>
      <c r="K33" s="2282">
        <v>405</v>
      </c>
      <c r="L33" s="2281" t="s">
        <v>464</v>
      </c>
      <c r="M33" s="2281" t="s">
        <v>464</v>
      </c>
      <c r="N33" s="2281" t="s">
        <v>464</v>
      </c>
      <c r="O33" s="2283">
        <v>441</v>
      </c>
      <c r="P33" s="2282">
        <v>74</v>
      </c>
      <c r="Q33" s="2284" t="s">
        <v>595</v>
      </c>
    </row>
    <row r="34" spans="1:17" s="2245" customFormat="1" ht="19.5" customHeight="1">
      <c r="A34" s="787"/>
      <c r="B34" s="2285"/>
      <c r="C34" s="2285"/>
      <c r="D34" s="2285"/>
      <c r="E34" s="2285"/>
      <c r="F34" s="2285"/>
      <c r="G34" s="2285"/>
      <c r="H34" s="2285"/>
      <c r="I34" s="2285"/>
      <c r="J34" s="2285"/>
      <c r="K34" s="2285"/>
      <c r="L34" s="2285"/>
      <c r="M34" s="2285"/>
      <c r="N34" s="2285"/>
      <c r="O34" s="2285"/>
      <c r="P34" s="2285"/>
      <c r="Q34" s="2286"/>
    </row>
    <row r="35" spans="1:17" s="2245" customFormat="1" ht="19.5" customHeight="1" thickBot="1">
      <c r="A35" s="787"/>
      <c r="B35" s="2285"/>
      <c r="C35" s="2285"/>
      <c r="D35" s="2285"/>
      <c r="E35" s="2285"/>
      <c r="F35" s="2285"/>
      <c r="G35" s="2285"/>
      <c r="H35" s="2285"/>
      <c r="I35" s="2285"/>
      <c r="J35" s="2285"/>
      <c r="K35" s="2285"/>
      <c r="L35" s="2285"/>
      <c r="M35" s="2285"/>
      <c r="N35" s="2285"/>
      <c r="O35" s="2285"/>
      <c r="P35" s="2285"/>
      <c r="Q35" s="2287" t="s">
        <v>1030</v>
      </c>
    </row>
    <row r="36" spans="1:17" s="2245" customFormat="1" ht="18.75" customHeight="1" thickBot="1">
      <c r="A36" s="2288"/>
      <c r="B36" s="2915" t="s">
        <v>1637</v>
      </c>
      <c r="C36" s="2923"/>
      <c r="D36" s="2923"/>
      <c r="E36" s="2923"/>
      <c r="F36" s="2923"/>
      <c r="G36" s="2923"/>
      <c r="H36" s="2916"/>
      <c r="I36" s="2802"/>
      <c r="J36" s="2915" t="s">
        <v>1638</v>
      </c>
      <c r="K36" s="2923"/>
      <c r="L36" s="2923"/>
      <c r="M36" s="2923"/>
      <c r="N36" s="2916"/>
      <c r="O36" s="2915" t="s">
        <v>1031</v>
      </c>
      <c r="P36" s="2916"/>
      <c r="Q36" s="2289"/>
    </row>
    <row r="37" spans="1:17" s="2245" customFormat="1" ht="18.75" customHeight="1" thickBot="1">
      <c r="A37" s="2253" t="s">
        <v>566</v>
      </c>
      <c r="B37" s="2251" t="s">
        <v>1032</v>
      </c>
      <c r="C37" s="2251" t="s">
        <v>1033</v>
      </c>
      <c r="D37" s="2251" t="s">
        <v>1640</v>
      </c>
      <c r="E37" s="2251" t="s">
        <v>1034</v>
      </c>
      <c r="F37" s="2251" t="s">
        <v>1035</v>
      </c>
      <c r="G37" s="2251" t="s">
        <v>1036</v>
      </c>
      <c r="H37" s="2290"/>
      <c r="I37" s="2251"/>
      <c r="J37" s="2254" t="s">
        <v>1037</v>
      </c>
      <c r="K37" s="2914" t="s">
        <v>1038</v>
      </c>
      <c r="L37" s="2914"/>
      <c r="M37" s="2254" t="s">
        <v>994</v>
      </c>
      <c r="N37" s="2254"/>
      <c r="O37" s="2251" t="s">
        <v>1039</v>
      </c>
      <c r="P37" s="2251" t="s">
        <v>1040</v>
      </c>
      <c r="Q37" s="2291" t="s">
        <v>570</v>
      </c>
    </row>
    <row r="38" spans="1:17" s="2245" customFormat="1" ht="18.75" customHeight="1">
      <c r="A38" s="2253" t="s">
        <v>571</v>
      </c>
      <c r="B38" s="2292" t="s">
        <v>1041</v>
      </c>
      <c r="C38" s="2292" t="s">
        <v>1042</v>
      </c>
      <c r="D38" s="2292" t="s">
        <v>1043</v>
      </c>
      <c r="E38" s="2292" t="s">
        <v>1044</v>
      </c>
      <c r="F38" s="2292" t="s">
        <v>1045</v>
      </c>
      <c r="G38" s="2292" t="s">
        <v>1046</v>
      </c>
      <c r="H38" s="2293"/>
      <c r="I38" s="2292"/>
      <c r="J38" s="2292" t="s">
        <v>1047</v>
      </c>
      <c r="K38" s="2294" t="s">
        <v>1048</v>
      </c>
      <c r="L38" s="2294" t="s">
        <v>1049</v>
      </c>
      <c r="M38" s="2292" t="s">
        <v>1017</v>
      </c>
      <c r="N38" s="2292"/>
      <c r="O38" s="2292" t="s">
        <v>1050</v>
      </c>
      <c r="P38" s="2292" t="s">
        <v>1018</v>
      </c>
      <c r="Q38" s="2291" t="s">
        <v>575</v>
      </c>
    </row>
    <row r="39" spans="1:17" s="2245" customFormat="1" ht="18.75" customHeight="1" thickBot="1">
      <c r="A39" s="2295"/>
      <c r="B39" s="2296" t="s">
        <v>1051</v>
      </c>
      <c r="C39" s="2296"/>
      <c r="D39" s="2296" t="s">
        <v>1052</v>
      </c>
      <c r="E39" s="2296"/>
      <c r="F39" s="2296"/>
      <c r="G39" s="2296" t="s">
        <v>1051</v>
      </c>
      <c r="H39" s="2293"/>
      <c r="I39" s="2296"/>
      <c r="J39" s="2296" t="s">
        <v>1053</v>
      </c>
      <c r="K39" s="2296" t="s">
        <v>1054</v>
      </c>
      <c r="L39" s="2296" t="s">
        <v>1054</v>
      </c>
      <c r="M39" s="2296" t="s">
        <v>1055</v>
      </c>
      <c r="N39" s="2296"/>
      <c r="O39" s="2296" t="s">
        <v>1056</v>
      </c>
      <c r="P39" s="2296" t="s">
        <v>1056</v>
      </c>
      <c r="Q39" s="2297"/>
    </row>
    <row r="40" spans="1:17" s="2260" customFormat="1" ht="18.75" customHeight="1" thickBot="1">
      <c r="A40" s="2298" t="s">
        <v>938</v>
      </c>
      <c r="B40" s="2257">
        <f>SUM(B41+B46+B53+B59+B63)</f>
        <v>318</v>
      </c>
      <c r="C40" s="2258">
        <f>SUM(C41+C46+C53+C59+C63)</f>
        <v>278</v>
      </c>
      <c r="D40" s="2258">
        <f>SUM(D41+D46+D53+D59+D63)</f>
        <v>553</v>
      </c>
      <c r="E40" s="2258">
        <f>SUM(E41+E46+E53+E59+E63)</f>
        <v>410</v>
      </c>
      <c r="F40" s="2258">
        <f>SUM(F41+F46+F53+F59+F63)</f>
        <v>346</v>
      </c>
      <c r="G40" s="2299">
        <f>SUM(G46)</f>
        <v>1</v>
      </c>
      <c r="H40" s="2300"/>
      <c r="I40" s="2258"/>
      <c r="J40" s="2258">
        <f>SUM(J41+J46+J53+J59+J63)</f>
        <v>1972</v>
      </c>
      <c r="K40" s="2258">
        <f>SUM(K41+K46+K53+K59+K63)</f>
        <v>571</v>
      </c>
      <c r="L40" s="2258">
        <f>SUM(L41+L46+L53+L59+L63)</f>
        <v>2125</v>
      </c>
      <c r="M40" s="2258">
        <f>SUM(M41+M46+M53+M59+M63)</f>
        <v>1452</v>
      </c>
      <c r="N40" s="2258"/>
      <c r="O40" s="2258">
        <f>SUM(O41+O59)</f>
        <v>35</v>
      </c>
      <c r="P40" s="2258">
        <f>SUM(P41+P46+P59+P53+P63)</f>
        <v>210</v>
      </c>
      <c r="Q40" s="2301" t="s">
        <v>579</v>
      </c>
    </row>
    <row r="41" spans="1:17" s="2260" customFormat="1" ht="18.75" customHeight="1" thickBot="1">
      <c r="A41" s="2302" t="s">
        <v>580</v>
      </c>
      <c r="B41" s="2262">
        <f>SUM(B42:B44)</f>
        <v>101</v>
      </c>
      <c r="C41" s="2262">
        <f>SUM(C42:C44)</f>
        <v>75</v>
      </c>
      <c r="D41" s="2262">
        <f>SUM(D42:D44)</f>
        <v>116</v>
      </c>
      <c r="E41" s="2262">
        <f>SUM(E42:E44)</f>
        <v>110</v>
      </c>
      <c r="F41" s="2262">
        <f>SUM(F42:F44)</f>
        <v>49</v>
      </c>
      <c r="G41" s="2263" t="s">
        <v>464</v>
      </c>
      <c r="H41" s="2303"/>
      <c r="I41" s="2258"/>
      <c r="J41" s="2262">
        <f>SUM(J42:J44)</f>
        <v>124</v>
      </c>
      <c r="K41" s="2262">
        <f>SUM(K42:K44)</f>
        <v>10</v>
      </c>
      <c r="L41" s="2262">
        <f>SUM(L42:L44)</f>
        <v>383</v>
      </c>
      <c r="M41" s="2262">
        <f>SUM(M42:M44)</f>
        <v>192</v>
      </c>
      <c r="N41" s="2262"/>
      <c r="O41" s="2262">
        <f>SUM(O42:O44)</f>
        <v>22</v>
      </c>
      <c r="P41" s="2262">
        <f>SUM(P42:P44)</f>
        <v>32</v>
      </c>
      <c r="Q41" s="2264" t="s">
        <v>581</v>
      </c>
    </row>
    <row r="42" spans="1:17" ht="18.75" customHeight="1" thickBot="1">
      <c r="A42" s="2304" t="s">
        <v>582</v>
      </c>
      <c r="B42" s="2266">
        <v>33</v>
      </c>
      <c r="C42" s="2266">
        <v>22</v>
      </c>
      <c r="D42" s="2266">
        <v>33</v>
      </c>
      <c r="E42" s="2266">
        <v>35</v>
      </c>
      <c r="F42" s="2266">
        <v>28</v>
      </c>
      <c r="G42" s="2268" t="s">
        <v>464</v>
      </c>
      <c r="H42" s="1916"/>
      <c r="I42" s="2184"/>
      <c r="J42" s="2268">
        <v>72</v>
      </c>
      <c r="K42" s="2266">
        <v>4</v>
      </c>
      <c r="L42" s="2268">
        <v>124</v>
      </c>
      <c r="M42" s="2266">
        <v>50</v>
      </c>
      <c r="N42" s="2266"/>
      <c r="O42" s="1943">
        <v>11</v>
      </c>
      <c r="P42" s="2268" t="s">
        <v>464</v>
      </c>
      <c r="Q42" s="2269" t="s">
        <v>583</v>
      </c>
    </row>
    <row r="43" spans="1:17" ht="18.75" customHeight="1" thickBot="1">
      <c r="A43" s="2304" t="s">
        <v>584</v>
      </c>
      <c r="B43" s="2266">
        <v>27</v>
      </c>
      <c r="C43" s="2266">
        <v>21</v>
      </c>
      <c r="D43" s="2266">
        <v>43</v>
      </c>
      <c r="E43" s="2266">
        <v>30</v>
      </c>
      <c r="F43" s="2268" t="s">
        <v>464</v>
      </c>
      <c r="G43" s="2268" t="s">
        <v>464</v>
      </c>
      <c r="H43" s="1916"/>
      <c r="I43" s="2184"/>
      <c r="J43" s="2268">
        <v>3</v>
      </c>
      <c r="K43" s="2268" t="s">
        <v>464</v>
      </c>
      <c r="L43" s="2268">
        <v>60</v>
      </c>
      <c r="M43" s="2268">
        <v>77</v>
      </c>
      <c r="N43" s="2266"/>
      <c r="O43" s="1961" t="s">
        <v>464</v>
      </c>
      <c r="P43" s="2268">
        <v>32</v>
      </c>
      <c r="Q43" s="2269" t="s">
        <v>584</v>
      </c>
    </row>
    <row r="44" spans="1:17" ht="18.75" customHeight="1" thickBot="1">
      <c r="A44" s="2304" t="s">
        <v>585</v>
      </c>
      <c r="B44" s="2266">
        <v>41</v>
      </c>
      <c r="C44" s="2266">
        <v>32</v>
      </c>
      <c r="D44" s="2266">
        <v>40</v>
      </c>
      <c r="E44" s="2266">
        <v>45</v>
      </c>
      <c r="F44" s="2266">
        <v>21</v>
      </c>
      <c r="G44" s="2268" t="s">
        <v>464</v>
      </c>
      <c r="H44" s="1916"/>
      <c r="I44" s="2184"/>
      <c r="J44" s="2268">
        <v>49</v>
      </c>
      <c r="K44" s="2266">
        <v>6</v>
      </c>
      <c r="L44" s="2268">
        <v>199</v>
      </c>
      <c r="M44" s="2266">
        <v>65</v>
      </c>
      <c r="N44" s="2266"/>
      <c r="O44" s="1961">
        <v>11</v>
      </c>
      <c r="P44" s="2268" t="s">
        <v>464</v>
      </c>
      <c r="Q44" s="2269" t="s">
        <v>585</v>
      </c>
    </row>
    <row r="45" spans="1:17" ht="18.75" customHeight="1" thickBot="1">
      <c r="A45" s="2304"/>
      <c r="B45" s="2266"/>
      <c r="C45" s="2266"/>
      <c r="D45" s="2270"/>
      <c r="E45" s="2266"/>
      <c r="F45" s="2266"/>
      <c r="G45" s="2266"/>
      <c r="H45" s="1916"/>
      <c r="I45" s="2184"/>
      <c r="J45" s="2266"/>
      <c r="K45" s="2266"/>
      <c r="L45" s="2268"/>
      <c r="M45" s="2266"/>
      <c r="N45" s="2266"/>
      <c r="O45" s="1943"/>
      <c r="P45" s="2266"/>
      <c r="Q45" s="2269"/>
    </row>
    <row r="46" spans="1:17" ht="18.75" customHeight="1" thickBot="1">
      <c r="A46" s="2305" t="s">
        <v>588</v>
      </c>
      <c r="B46" s="2270">
        <f aca="true" t="shared" si="6" ref="B46:G46">SUM(B47:B51)</f>
        <v>106</v>
      </c>
      <c r="C46" s="2270">
        <f t="shared" si="6"/>
        <v>54</v>
      </c>
      <c r="D46" s="2270">
        <f t="shared" si="6"/>
        <v>214</v>
      </c>
      <c r="E46" s="2270">
        <f t="shared" si="6"/>
        <v>181</v>
      </c>
      <c r="F46" s="2270">
        <f t="shared" si="6"/>
        <v>159</v>
      </c>
      <c r="G46" s="2267">
        <f t="shared" si="6"/>
        <v>1</v>
      </c>
      <c r="H46" s="1916"/>
      <c r="I46" s="2184"/>
      <c r="J46" s="2270">
        <f>SUM(J47:J51)</f>
        <v>556</v>
      </c>
      <c r="K46" s="2270">
        <f>SUM(K47:K51)</f>
        <v>190</v>
      </c>
      <c r="L46" s="2270">
        <f>SUM(L47:L51)</f>
        <v>500</v>
      </c>
      <c r="M46" s="2270">
        <f>SUM(M47:M51)</f>
        <v>619</v>
      </c>
      <c r="N46" s="2270"/>
      <c r="O46" s="2267" t="s">
        <v>464</v>
      </c>
      <c r="P46" s="2270">
        <f>SUM(P47:P51)</f>
        <v>55</v>
      </c>
      <c r="Q46" s="2272" t="s">
        <v>589</v>
      </c>
    </row>
    <row r="47" spans="1:17" ht="18.75" customHeight="1" thickBot="1">
      <c r="A47" s="2304" t="s">
        <v>590</v>
      </c>
      <c r="B47" s="2266">
        <v>21</v>
      </c>
      <c r="C47" s="2266">
        <v>11</v>
      </c>
      <c r="D47" s="2266">
        <v>19</v>
      </c>
      <c r="E47" s="2266">
        <v>43</v>
      </c>
      <c r="F47" s="2266">
        <v>21</v>
      </c>
      <c r="G47" s="2268" t="s">
        <v>464</v>
      </c>
      <c r="H47" s="1916"/>
      <c r="I47" s="2184"/>
      <c r="J47" s="2266">
        <v>202</v>
      </c>
      <c r="K47" s="2266">
        <v>15</v>
      </c>
      <c r="L47" s="2266">
        <v>197</v>
      </c>
      <c r="M47" s="2266">
        <v>146</v>
      </c>
      <c r="N47" s="2266"/>
      <c r="O47" s="1961" t="s">
        <v>464</v>
      </c>
      <c r="P47" s="2268" t="s">
        <v>464</v>
      </c>
      <c r="Q47" s="2269" t="s">
        <v>591</v>
      </c>
    </row>
    <row r="48" spans="1:17" ht="18.75" customHeight="1" thickBot="1">
      <c r="A48" s="2304" t="s">
        <v>592</v>
      </c>
      <c r="B48" s="2274">
        <v>17</v>
      </c>
      <c r="C48" s="2274">
        <v>9</v>
      </c>
      <c r="D48" s="2274">
        <v>33</v>
      </c>
      <c r="E48" s="2274">
        <v>37</v>
      </c>
      <c r="F48" s="2274">
        <v>16</v>
      </c>
      <c r="G48" s="2268" t="s">
        <v>464</v>
      </c>
      <c r="H48" s="1916"/>
      <c r="I48" s="2184"/>
      <c r="J48" s="2274">
        <v>71</v>
      </c>
      <c r="K48" s="2274">
        <v>23</v>
      </c>
      <c r="L48" s="2274">
        <v>54</v>
      </c>
      <c r="M48" s="2274">
        <v>57</v>
      </c>
      <c r="N48" s="2274"/>
      <c r="O48" s="1961" t="s">
        <v>464</v>
      </c>
      <c r="P48" s="2268" t="s">
        <v>464</v>
      </c>
      <c r="Q48" s="2269" t="s">
        <v>593</v>
      </c>
    </row>
    <row r="49" spans="1:17" ht="18.75" customHeight="1" thickBot="1">
      <c r="A49" s="2304" t="s">
        <v>594</v>
      </c>
      <c r="B49" s="2266">
        <v>31</v>
      </c>
      <c r="C49" s="2266">
        <v>1</v>
      </c>
      <c r="D49" s="2266">
        <v>111</v>
      </c>
      <c r="E49" s="2266">
        <v>65</v>
      </c>
      <c r="F49" s="2266">
        <v>111</v>
      </c>
      <c r="G49" s="2268">
        <v>1</v>
      </c>
      <c r="H49" s="1916"/>
      <c r="I49" s="2184"/>
      <c r="J49" s="2266">
        <v>77</v>
      </c>
      <c r="K49" s="2268" t="s">
        <v>464</v>
      </c>
      <c r="L49" s="2268" t="s">
        <v>464</v>
      </c>
      <c r="M49" s="2268">
        <v>175</v>
      </c>
      <c r="N49" s="2266"/>
      <c r="O49" s="1961" t="s">
        <v>464</v>
      </c>
      <c r="P49" s="2266">
        <v>55</v>
      </c>
      <c r="Q49" s="2269" t="s">
        <v>594</v>
      </c>
    </row>
    <row r="50" spans="1:17" ht="18.75" customHeight="1" thickBot="1">
      <c r="A50" s="2304" t="s">
        <v>599</v>
      </c>
      <c r="B50" s="2268">
        <v>12</v>
      </c>
      <c r="C50" s="2266">
        <v>23</v>
      </c>
      <c r="D50" s="2266">
        <v>21</v>
      </c>
      <c r="E50" s="2266">
        <v>12</v>
      </c>
      <c r="F50" s="2266">
        <v>7</v>
      </c>
      <c r="G50" s="2268" t="s">
        <v>464</v>
      </c>
      <c r="H50" s="1916"/>
      <c r="I50" s="2184"/>
      <c r="J50" s="2268">
        <v>94</v>
      </c>
      <c r="K50" s="2266">
        <v>110</v>
      </c>
      <c r="L50" s="2268">
        <v>143</v>
      </c>
      <c r="M50" s="2268">
        <v>95</v>
      </c>
      <c r="N50" s="2268"/>
      <c r="O50" s="1961" t="s">
        <v>464</v>
      </c>
      <c r="P50" s="2268" t="s">
        <v>464</v>
      </c>
      <c r="Q50" s="2269" t="s">
        <v>599</v>
      </c>
    </row>
    <row r="51" spans="1:17" ht="18.75" customHeight="1" thickBot="1">
      <c r="A51" s="2304" t="s">
        <v>598</v>
      </c>
      <c r="B51" s="2266">
        <v>25</v>
      </c>
      <c r="C51" s="2266">
        <v>10</v>
      </c>
      <c r="D51" s="2266">
        <v>30</v>
      </c>
      <c r="E51" s="2266">
        <v>24</v>
      </c>
      <c r="F51" s="2266">
        <v>4</v>
      </c>
      <c r="G51" s="2268" t="s">
        <v>464</v>
      </c>
      <c r="H51" s="1916"/>
      <c r="I51" s="2184"/>
      <c r="J51" s="2266">
        <v>112</v>
      </c>
      <c r="K51" s="2266">
        <v>42</v>
      </c>
      <c r="L51" s="2266">
        <v>106</v>
      </c>
      <c r="M51" s="2266">
        <v>146</v>
      </c>
      <c r="N51" s="2266"/>
      <c r="O51" s="1961" t="s">
        <v>464</v>
      </c>
      <c r="P51" s="2268" t="s">
        <v>464</v>
      </c>
      <c r="Q51" s="2269" t="s">
        <v>598</v>
      </c>
    </row>
    <row r="52" spans="1:17" ht="18.75" customHeight="1" thickBot="1">
      <c r="A52" s="2306"/>
      <c r="B52" s="2266"/>
      <c r="C52" s="2266"/>
      <c r="D52" s="2270"/>
      <c r="E52" s="2266"/>
      <c r="F52" s="2266"/>
      <c r="G52" s="2266"/>
      <c r="H52" s="1916"/>
      <c r="I52" s="2184"/>
      <c r="J52" s="2266"/>
      <c r="K52" s="2266"/>
      <c r="L52" s="2268"/>
      <c r="M52" s="2268"/>
      <c r="N52" s="2268"/>
      <c r="O52" s="1943"/>
      <c r="P52" s="2266"/>
      <c r="Q52" s="2269"/>
    </row>
    <row r="53" spans="1:17" ht="18.75" customHeight="1" thickBot="1">
      <c r="A53" s="2305" t="s">
        <v>601</v>
      </c>
      <c r="B53" s="2267">
        <f>SUM(B54:B57)</f>
        <v>36</v>
      </c>
      <c r="C53" s="2267">
        <f>SUM(C54:C57)</f>
        <v>60</v>
      </c>
      <c r="D53" s="2267">
        <f>SUM(D54:D57)</f>
        <v>37</v>
      </c>
      <c r="E53" s="2267">
        <f>SUM(E54:E57)</f>
        <v>28</v>
      </c>
      <c r="F53" s="2267">
        <f>SUM(F54:F57)</f>
        <v>15</v>
      </c>
      <c r="G53" s="2267" t="s">
        <v>464</v>
      </c>
      <c r="H53" s="1916"/>
      <c r="I53" s="2184"/>
      <c r="J53" s="2267">
        <f>SUM(J54:J57)</f>
        <v>696</v>
      </c>
      <c r="K53" s="2267">
        <f>SUM(K54:K57)</f>
        <v>106</v>
      </c>
      <c r="L53" s="2267">
        <f>SUM(L54:L57)</f>
        <v>549</v>
      </c>
      <c r="M53" s="2267">
        <f>SUM(M54:M57)</f>
        <v>75</v>
      </c>
      <c r="N53" s="2267"/>
      <c r="O53" s="2267" t="s">
        <v>464</v>
      </c>
      <c r="P53" s="2267">
        <f>SUM(P54:P57)</f>
        <v>75</v>
      </c>
      <c r="Q53" s="2272" t="s">
        <v>602</v>
      </c>
    </row>
    <row r="54" spans="1:17" ht="18.75" customHeight="1" thickBot="1">
      <c r="A54" s="2304" t="s">
        <v>603</v>
      </c>
      <c r="B54" s="2268" t="s">
        <v>464</v>
      </c>
      <c r="C54" s="2268" t="s">
        <v>464</v>
      </c>
      <c r="D54" s="2268" t="s">
        <v>464</v>
      </c>
      <c r="E54" s="2268">
        <v>2</v>
      </c>
      <c r="F54" s="2268">
        <v>3</v>
      </c>
      <c r="G54" s="2268" t="s">
        <v>464</v>
      </c>
      <c r="H54" s="1916"/>
      <c r="I54" s="2184"/>
      <c r="J54" s="2268">
        <v>417</v>
      </c>
      <c r="K54" s="2268">
        <v>22</v>
      </c>
      <c r="L54" s="2268">
        <v>112</v>
      </c>
      <c r="M54" s="2268">
        <v>17</v>
      </c>
      <c r="N54" s="2268"/>
      <c r="O54" s="2268" t="s">
        <v>464</v>
      </c>
      <c r="P54" s="2268" t="s">
        <v>464</v>
      </c>
      <c r="Q54" s="2269" t="s">
        <v>604</v>
      </c>
    </row>
    <row r="55" spans="1:17" ht="18.75" customHeight="1" thickBot="1">
      <c r="A55" s="2304" t="s">
        <v>605</v>
      </c>
      <c r="B55" s="2268" t="s">
        <v>464</v>
      </c>
      <c r="C55" s="2266">
        <v>2</v>
      </c>
      <c r="D55" s="2266">
        <v>3</v>
      </c>
      <c r="E55" s="2266">
        <v>1</v>
      </c>
      <c r="F55" s="2268">
        <v>1</v>
      </c>
      <c r="G55" s="2268" t="s">
        <v>464</v>
      </c>
      <c r="H55" s="1916"/>
      <c r="I55" s="2184"/>
      <c r="J55" s="2268">
        <v>170</v>
      </c>
      <c r="K55" s="2266">
        <v>53</v>
      </c>
      <c r="L55" s="2266">
        <v>396</v>
      </c>
      <c r="M55" s="2268" t="s">
        <v>464</v>
      </c>
      <c r="N55" s="2268"/>
      <c r="O55" s="2268" t="s">
        <v>464</v>
      </c>
      <c r="P55" s="2268">
        <v>75</v>
      </c>
      <c r="Q55" s="2269" t="s">
        <v>606</v>
      </c>
    </row>
    <row r="56" spans="1:17" ht="18.75" customHeight="1" thickBot="1">
      <c r="A56" s="2304" t="s">
        <v>607</v>
      </c>
      <c r="B56" s="2266">
        <v>27</v>
      </c>
      <c r="C56" s="2266">
        <v>20</v>
      </c>
      <c r="D56" s="2268" t="s">
        <v>464</v>
      </c>
      <c r="E56" s="2266">
        <v>21</v>
      </c>
      <c r="F56" s="2266">
        <v>7</v>
      </c>
      <c r="G56" s="2268" t="s">
        <v>464</v>
      </c>
      <c r="H56" s="1916"/>
      <c r="I56" s="2184"/>
      <c r="J56" s="2266">
        <v>56</v>
      </c>
      <c r="K56" s="2266">
        <v>21</v>
      </c>
      <c r="L56" s="2268">
        <v>7</v>
      </c>
      <c r="M56" s="2266">
        <v>38</v>
      </c>
      <c r="N56" s="2268"/>
      <c r="O56" s="2268" t="s">
        <v>464</v>
      </c>
      <c r="P56" s="2268" t="s">
        <v>464</v>
      </c>
      <c r="Q56" s="2269" t="s">
        <v>607</v>
      </c>
    </row>
    <row r="57" spans="1:17" ht="18.75" customHeight="1" thickBot="1">
      <c r="A57" s="2304" t="s">
        <v>608</v>
      </c>
      <c r="B57" s="2266">
        <v>9</v>
      </c>
      <c r="C57" s="2266">
        <v>38</v>
      </c>
      <c r="D57" s="2266">
        <v>34</v>
      </c>
      <c r="E57" s="2266">
        <v>4</v>
      </c>
      <c r="F57" s="2266">
        <v>4</v>
      </c>
      <c r="G57" s="2268" t="s">
        <v>464</v>
      </c>
      <c r="H57" s="1916"/>
      <c r="I57" s="2184"/>
      <c r="J57" s="2266">
        <v>53</v>
      </c>
      <c r="K57" s="2266">
        <v>10</v>
      </c>
      <c r="L57" s="2266">
        <v>34</v>
      </c>
      <c r="M57" s="2266">
        <v>20</v>
      </c>
      <c r="N57" s="2266"/>
      <c r="O57" s="2268" t="s">
        <v>464</v>
      </c>
      <c r="P57" s="2268" t="s">
        <v>464</v>
      </c>
      <c r="Q57" s="2269" t="s">
        <v>608</v>
      </c>
    </row>
    <row r="58" spans="1:17" s="302" customFormat="1" ht="18.75" customHeight="1" thickBot="1">
      <c r="A58" s="2307"/>
      <c r="B58" s="2277"/>
      <c r="C58" s="2277"/>
      <c r="D58" s="2277"/>
      <c r="E58" s="2277"/>
      <c r="F58" s="2277"/>
      <c r="G58" s="2268"/>
      <c r="H58" s="2303"/>
      <c r="I58" s="2184"/>
      <c r="J58" s="2268"/>
      <c r="K58" s="2277"/>
      <c r="L58" s="2268"/>
      <c r="M58" s="2268"/>
      <c r="N58" s="2277"/>
      <c r="O58" s="2229"/>
      <c r="P58" s="2277"/>
      <c r="Q58" s="2272"/>
    </row>
    <row r="59" spans="1:17" ht="18.75" customHeight="1" thickBot="1">
      <c r="A59" s="2307" t="s">
        <v>1286</v>
      </c>
      <c r="B59" s="2270">
        <f>SUM(B60:B61)</f>
        <v>20</v>
      </c>
      <c r="C59" s="2270">
        <f>SUM(C60:C61)</f>
        <v>25</v>
      </c>
      <c r="D59" s="2270">
        <f>SUM(D60:D61)</f>
        <v>36</v>
      </c>
      <c r="E59" s="2270">
        <f>SUM(E60:E61)</f>
        <v>25</v>
      </c>
      <c r="F59" s="2270">
        <f>SUM(F60:F61)</f>
        <v>29</v>
      </c>
      <c r="G59" s="2267" t="s">
        <v>464</v>
      </c>
      <c r="H59" s="1916"/>
      <c r="I59" s="2184"/>
      <c r="J59" s="2270">
        <f>SUM(J60:J61)</f>
        <v>439</v>
      </c>
      <c r="K59" s="2270">
        <f>SUM(K60:K61)</f>
        <v>143</v>
      </c>
      <c r="L59" s="2270">
        <f>SUM(L60:L61)</f>
        <v>510</v>
      </c>
      <c r="M59" s="2270">
        <f>SUM(M60:M61)</f>
        <v>249</v>
      </c>
      <c r="N59" s="2270"/>
      <c r="O59" s="2270">
        <f>SUM(O60:O61)</f>
        <v>13</v>
      </c>
      <c r="P59" s="2270">
        <f>SUM(P60:P61)</f>
        <v>9</v>
      </c>
      <c r="Q59" s="2278" t="s">
        <v>1286</v>
      </c>
    </row>
    <row r="60" spans="1:17" ht="18.75" customHeight="1" thickBot="1">
      <c r="A60" s="2306" t="s">
        <v>586</v>
      </c>
      <c r="B60" s="2266">
        <v>5</v>
      </c>
      <c r="C60" s="2266">
        <v>11</v>
      </c>
      <c r="D60" s="2266">
        <v>24</v>
      </c>
      <c r="E60" s="2268">
        <v>19</v>
      </c>
      <c r="F60" s="2268">
        <v>16</v>
      </c>
      <c r="G60" s="2268" t="s">
        <v>464</v>
      </c>
      <c r="H60" s="1916"/>
      <c r="I60" s="2184"/>
      <c r="J60" s="2268">
        <v>91</v>
      </c>
      <c r="K60" s="2266">
        <v>99</v>
      </c>
      <c r="L60" s="2268">
        <v>276</v>
      </c>
      <c r="M60" s="2268">
        <v>117</v>
      </c>
      <c r="N60" s="2266"/>
      <c r="O60" s="1961">
        <v>2</v>
      </c>
      <c r="P60" s="2268">
        <v>6</v>
      </c>
      <c r="Q60" s="2279" t="s">
        <v>586</v>
      </c>
    </row>
    <row r="61" spans="1:17" ht="18.75" customHeight="1" thickBot="1">
      <c r="A61" s="2306" t="s">
        <v>587</v>
      </c>
      <c r="B61" s="2266">
        <v>15</v>
      </c>
      <c r="C61" s="2266">
        <v>14</v>
      </c>
      <c r="D61" s="2266">
        <v>12</v>
      </c>
      <c r="E61" s="2266">
        <v>6</v>
      </c>
      <c r="F61" s="2266">
        <v>13</v>
      </c>
      <c r="G61" s="2268" t="s">
        <v>464</v>
      </c>
      <c r="H61" s="1916"/>
      <c r="I61" s="2184"/>
      <c r="J61" s="2268">
        <v>348</v>
      </c>
      <c r="K61" s="2266">
        <v>44</v>
      </c>
      <c r="L61" s="2268">
        <v>234</v>
      </c>
      <c r="M61" s="2268">
        <v>132</v>
      </c>
      <c r="N61" s="2266"/>
      <c r="O61" s="1943">
        <v>11</v>
      </c>
      <c r="P61" s="2268">
        <v>3</v>
      </c>
      <c r="Q61" s="2279" t="s">
        <v>587</v>
      </c>
    </row>
    <row r="62" spans="1:17" ht="18.75" customHeight="1" thickBot="1">
      <c r="A62" s="2306"/>
      <c r="B62" s="2266"/>
      <c r="C62" s="2266"/>
      <c r="D62" s="2266"/>
      <c r="E62" s="2266"/>
      <c r="F62" s="2266"/>
      <c r="G62" s="2268"/>
      <c r="H62" s="1916"/>
      <c r="I62" s="2184"/>
      <c r="J62" s="2268"/>
      <c r="K62" s="2266"/>
      <c r="L62" s="2268"/>
      <c r="M62" s="2268"/>
      <c r="N62" s="2266"/>
      <c r="O62" s="1943"/>
      <c r="P62" s="2266"/>
      <c r="Q62" s="2269"/>
    </row>
    <row r="63" spans="1:17" s="304" customFormat="1" ht="19.5" thickBot="1">
      <c r="A63" s="2307" t="s">
        <v>1287</v>
      </c>
      <c r="B63" s="2270">
        <f>SUM(B64:B66)</f>
        <v>55</v>
      </c>
      <c r="C63" s="2270">
        <f>SUM(C64:C66)</f>
        <v>64</v>
      </c>
      <c r="D63" s="2270">
        <f>SUM(D64:D66)</f>
        <v>150</v>
      </c>
      <c r="E63" s="2270">
        <f>SUM(E64:E66)</f>
        <v>66</v>
      </c>
      <c r="F63" s="2270">
        <f>SUM(F64:F66)</f>
        <v>94</v>
      </c>
      <c r="G63" s="2267" t="s">
        <v>464</v>
      </c>
      <c r="H63" s="2309"/>
      <c r="I63" s="2184"/>
      <c r="J63" s="2270">
        <f>SUM(J64:J66)</f>
        <v>157</v>
      </c>
      <c r="K63" s="2270">
        <f>SUM(K64:K66)</f>
        <v>122</v>
      </c>
      <c r="L63" s="2270">
        <f>SUM(L64:L66)</f>
        <v>183</v>
      </c>
      <c r="M63" s="2270">
        <f>SUM(M64:M66)</f>
        <v>317</v>
      </c>
      <c r="N63" s="2270"/>
      <c r="O63" s="2267" t="s">
        <v>464</v>
      </c>
      <c r="P63" s="2267">
        <f>SUM(P64:P66)</f>
        <v>39</v>
      </c>
      <c r="Q63" s="2272" t="s">
        <v>1287</v>
      </c>
    </row>
    <row r="64" spans="1:17" s="304" customFormat="1" ht="19.5" thickBot="1">
      <c r="A64" s="2306" t="s">
        <v>1273</v>
      </c>
      <c r="B64" s="2266">
        <v>26</v>
      </c>
      <c r="C64" s="2266">
        <v>25</v>
      </c>
      <c r="D64" s="2266">
        <v>110</v>
      </c>
      <c r="E64" s="2266">
        <v>39</v>
      </c>
      <c r="F64" s="2266">
        <v>87</v>
      </c>
      <c r="G64" s="2267" t="s">
        <v>464</v>
      </c>
      <c r="H64" s="2309"/>
      <c r="I64" s="2184"/>
      <c r="J64" s="2266">
        <v>60</v>
      </c>
      <c r="K64" s="2266">
        <v>46</v>
      </c>
      <c r="L64" s="2266">
        <v>119</v>
      </c>
      <c r="M64" s="2266">
        <v>159</v>
      </c>
      <c r="N64" s="2266"/>
      <c r="O64" s="1961" t="s">
        <v>464</v>
      </c>
      <c r="P64" s="2268">
        <v>39</v>
      </c>
      <c r="Q64" s="2269" t="s">
        <v>1294</v>
      </c>
    </row>
    <row r="65" spans="1:17" s="304" customFormat="1" ht="19.5" thickBot="1">
      <c r="A65" s="2306" t="s">
        <v>596</v>
      </c>
      <c r="B65" s="2266">
        <v>12</v>
      </c>
      <c r="C65" s="2266">
        <v>21</v>
      </c>
      <c r="D65" s="2266">
        <v>7</v>
      </c>
      <c r="E65" s="2266">
        <v>8</v>
      </c>
      <c r="F65" s="2266">
        <v>1</v>
      </c>
      <c r="G65" s="2267" t="s">
        <v>464</v>
      </c>
      <c r="H65" s="2309"/>
      <c r="I65" s="2184"/>
      <c r="J65" s="2266">
        <v>39</v>
      </c>
      <c r="K65" s="2266">
        <v>25</v>
      </c>
      <c r="L65" s="2268" t="s">
        <v>464</v>
      </c>
      <c r="M65" s="2266">
        <v>83</v>
      </c>
      <c r="N65" s="2266"/>
      <c r="O65" s="1961" t="s">
        <v>464</v>
      </c>
      <c r="P65" s="2268" t="s">
        <v>464</v>
      </c>
      <c r="Q65" s="2269" t="s">
        <v>596</v>
      </c>
    </row>
    <row r="66" spans="1:17" s="304" customFormat="1" ht="19.5" thickBot="1">
      <c r="A66" s="2308" t="s">
        <v>595</v>
      </c>
      <c r="B66" s="2282">
        <v>17</v>
      </c>
      <c r="C66" s="2282">
        <v>18</v>
      </c>
      <c r="D66" s="2282">
        <v>33</v>
      </c>
      <c r="E66" s="2282">
        <v>19</v>
      </c>
      <c r="F66" s="2282">
        <v>6</v>
      </c>
      <c r="G66" s="2281" t="s">
        <v>464</v>
      </c>
      <c r="H66" s="2310"/>
      <c r="I66" s="2184"/>
      <c r="J66" s="2282">
        <v>58</v>
      </c>
      <c r="K66" s="2282">
        <v>51</v>
      </c>
      <c r="L66" s="2282">
        <v>64</v>
      </c>
      <c r="M66" s="2282">
        <v>75</v>
      </c>
      <c r="N66" s="2282"/>
      <c r="O66" s="2189" t="s">
        <v>464</v>
      </c>
      <c r="P66" s="2281" t="s">
        <v>464</v>
      </c>
      <c r="Q66" s="2284" t="s">
        <v>595</v>
      </c>
    </row>
  </sheetData>
  <sheetProtection/>
  <mergeCells count="5">
    <mergeCell ref="O36:P36"/>
    <mergeCell ref="K37:L37"/>
    <mergeCell ref="B3:E4"/>
    <mergeCell ref="B36:H36"/>
    <mergeCell ref="J36:N36"/>
  </mergeCells>
  <printOptions/>
  <pageMargins left="0.33" right="1" top="0.97" bottom="1" header="0.5" footer="0.5"/>
  <pageSetup horizontalDpi="300" verticalDpi="300" orientation="portrait" paperSize="9" scale="5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J44" sqref="J44"/>
    </sheetView>
  </sheetViews>
  <sheetFormatPr defaultColWidth="9.7109375" defaultRowHeight="12.75"/>
  <cols>
    <col min="1" max="1" width="36.00390625" style="155" customWidth="1"/>
    <col min="2" max="4" width="15.7109375" style="329" customWidth="1"/>
    <col min="5" max="5" width="15.7109375" style="330" customWidth="1"/>
    <col min="6" max="22" width="7.140625" style="303" customWidth="1"/>
    <col min="23" max="16384" width="9.7109375" style="155" customWidth="1"/>
  </cols>
  <sheetData>
    <row r="1" ht="17.25" customHeight="1">
      <c r="A1" s="328" t="s">
        <v>422</v>
      </c>
    </row>
    <row r="2" ht="17.25" customHeight="1" thickBot="1"/>
    <row r="3" spans="1:5" ht="17.25" customHeight="1">
      <c r="A3" s="1411" t="s">
        <v>1057</v>
      </c>
      <c r="B3" s="216" t="s">
        <v>585</v>
      </c>
      <c r="C3" s="216" t="s">
        <v>1058</v>
      </c>
      <c r="D3" s="216" t="s">
        <v>686</v>
      </c>
      <c r="E3" s="216" t="s">
        <v>472</v>
      </c>
    </row>
    <row r="4" spans="1:256" ht="17.25" customHeight="1" thickBot="1">
      <c r="A4" s="1412" t="s">
        <v>1061</v>
      </c>
      <c r="B4" s="305" t="s">
        <v>1062</v>
      </c>
      <c r="C4" s="305" t="s">
        <v>1070</v>
      </c>
      <c r="D4" s="305" t="s">
        <v>1071</v>
      </c>
      <c r="E4" s="306" t="s">
        <v>480</v>
      </c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  <c r="IV4" s="332"/>
    </row>
    <row r="5" spans="1:22" s="334" customFormat="1" ht="17.25" customHeight="1">
      <c r="A5" s="1413" t="s">
        <v>1072</v>
      </c>
      <c r="B5" s="310"/>
      <c r="C5" s="310"/>
      <c r="D5" s="310"/>
      <c r="E5" s="311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</row>
    <row r="6" spans="1:22" s="334" customFormat="1" ht="17.25" customHeight="1">
      <c r="A6" s="1414" t="s">
        <v>1073</v>
      </c>
      <c r="B6" s="1415" t="s">
        <v>464</v>
      </c>
      <c r="C6" s="1415">
        <v>3008100</v>
      </c>
      <c r="D6" s="1415" t="s">
        <v>464</v>
      </c>
      <c r="E6" s="1909">
        <f>SUM(B6:D6)</f>
        <v>3008100</v>
      </c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</row>
    <row r="7" spans="1:256" s="334" customFormat="1" ht="17.25" customHeight="1" thickBot="1">
      <c r="A7" s="1416" t="s">
        <v>1074</v>
      </c>
      <c r="B7" s="1417" t="s">
        <v>464</v>
      </c>
      <c r="C7" s="1417" t="s">
        <v>464</v>
      </c>
      <c r="D7" s="1417" t="s">
        <v>464</v>
      </c>
      <c r="E7" s="1418" t="s">
        <v>464</v>
      </c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335"/>
      <c r="EK7" s="335"/>
      <c r="EL7" s="335"/>
      <c r="EM7" s="335"/>
      <c r="EN7" s="335"/>
      <c r="EO7" s="335"/>
      <c r="EP7" s="335"/>
      <c r="EQ7" s="335"/>
      <c r="ER7" s="335"/>
      <c r="ES7" s="335"/>
      <c r="ET7" s="335"/>
      <c r="EU7" s="335"/>
      <c r="EV7" s="335"/>
      <c r="EW7" s="335"/>
      <c r="EX7" s="335"/>
      <c r="EY7" s="335"/>
      <c r="EZ7" s="335"/>
      <c r="FA7" s="335"/>
      <c r="FB7" s="335"/>
      <c r="FC7" s="335"/>
      <c r="FD7" s="335"/>
      <c r="FE7" s="335"/>
      <c r="FF7" s="335"/>
      <c r="FG7" s="335"/>
      <c r="FH7" s="335"/>
      <c r="FI7" s="335"/>
      <c r="FJ7" s="335"/>
      <c r="FK7" s="335"/>
      <c r="FL7" s="335"/>
      <c r="FM7" s="335"/>
      <c r="FN7" s="335"/>
      <c r="FO7" s="335"/>
      <c r="FP7" s="335"/>
      <c r="FQ7" s="335"/>
      <c r="FR7" s="335"/>
      <c r="FS7" s="335"/>
      <c r="FT7" s="335"/>
      <c r="FU7" s="335"/>
      <c r="FV7" s="335"/>
      <c r="FW7" s="335"/>
      <c r="FX7" s="335"/>
      <c r="FY7" s="335"/>
      <c r="FZ7" s="335"/>
      <c r="GA7" s="335"/>
      <c r="GB7" s="335"/>
      <c r="GC7" s="335"/>
      <c r="GD7" s="335"/>
      <c r="GE7" s="335"/>
      <c r="GF7" s="335"/>
      <c r="GG7" s="335"/>
      <c r="GH7" s="335"/>
      <c r="GI7" s="335"/>
      <c r="GJ7" s="335"/>
      <c r="GK7" s="335"/>
      <c r="GL7" s="335"/>
      <c r="GM7" s="335"/>
      <c r="GN7" s="335"/>
      <c r="GO7" s="335"/>
      <c r="GP7" s="335"/>
      <c r="GQ7" s="335"/>
      <c r="GR7" s="335"/>
      <c r="GS7" s="335"/>
      <c r="GT7" s="335"/>
      <c r="GU7" s="335"/>
      <c r="GV7" s="335"/>
      <c r="GW7" s="335"/>
      <c r="GX7" s="335"/>
      <c r="GY7" s="335"/>
      <c r="GZ7" s="335"/>
      <c r="HA7" s="335"/>
      <c r="HB7" s="335"/>
      <c r="HC7" s="335"/>
      <c r="HD7" s="335"/>
      <c r="HE7" s="335"/>
      <c r="HF7" s="335"/>
      <c r="HG7" s="335"/>
      <c r="HH7" s="335"/>
      <c r="HI7" s="335"/>
      <c r="HJ7" s="335"/>
      <c r="HK7" s="335"/>
      <c r="HL7" s="335"/>
      <c r="HM7" s="335"/>
      <c r="HN7" s="335"/>
      <c r="HO7" s="335"/>
      <c r="HP7" s="335"/>
      <c r="HQ7" s="335"/>
      <c r="HR7" s="335"/>
      <c r="HS7" s="335"/>
      <c r="HT7" s="335"/>
      <c r="HU7" s="335"/>
      <c r="HV7" s="335"/>
      <c r="HW7" s="335"/>
      <c r="HX7" s="335"/>
      <c r="HY7" s="335"/>
      <c r="HZ7" s="335"/>
      <c r="IA7" s="335"/>
      <c r="IB7" s="335"/>
      <c r="IC7" s="335"/>
      <c r="ID7" s="335"/>
      <c r="IE7" s="335"/>
      <c r="IF7" s="335"/>
      <c r="IG7" s="335"/>
      <c r="IH7" s="335"/>
      <c r="II7" s="335"/>
      <c r="IJ7" s="335"/>
      <c r="IK7" s="335"/>
      <c r="IL7" s="335"/>
      <c r="IM7" s="335"/>
      <c r="IN7" s="335"/>
      <c r="IO7" s="335"/>
      <c r="IP7" s="335"/>
      <c r="IQ7" s="335"/>
      <c r="IR7" s="335"/>
      <c r="IS7" s="335"/>
      <c r="IT7" s="335"/>
      <c r="IU7" s="335"/>
      <c r="IV7" s="335"/>
    </row>
    <row r="8" spans="1:256" s="334" customFormat="1" ht="17.25" customHeight="1">
      <c r="A8" s="1419" t="s">
        <v>1075</v>
      </c>
      <c r="B8" s="310"/>
      <c r="C8" s="310"/>
      <c r="D8" s="310"/>
      <c r="E8" s="311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335"/>
      <c r="EK8" s="335"/>
      <c r="EL8" s="335"/>
      <c r="EM8" s="335"/>
      <c r="EN8" s="335"/>
      <c r="EO8" s="335"/>
      <c r="EP8" s="335"/>
      <c r="EQ8" s="335"/>
      <c r="ER8" s="335"/>
      <c r="ES8" s="335"/>
      <c r="ET8" s="335"/>
      <c r="EU8" s="335"/>
      <c r="EV8" s="335"/>
      <c r="EW8" s="335"/>
      <c r="EX8" s="335"/>
      <c r="EY8" s="335"/>
      <c r="EZ8" s="335"/>
      <c r="FA8" s="335"/>
      <c r="FB8" s="335"/>
      <c r="FC8" s="335"/>
      <c r="FD8" s="335"/>
      <c r="FE8" s="335"/>
      <c r="FF8" s="335"/>
      <c r="FG8" s="335"/>
      <c r="FH8" s="335"/>
      <c r="FI8" s="335"/>
      <c r="FJ8" s="335"/>
      <c r="FK8" s="335"/>
      <c r="FL8" s="335"/>
      <c r="FM8" s="335"/>
      <c r="FN8" s="335"/>
      <c r="FO8" s="335"/>
      <c r="FP8" s="335"/>
      <c r="FQ8" s="335"/>
      <c r="FR8" s="335"/>
      <c r="FS8" s="335"/>
      <c r="FT8" s="335"/>
      <c r="FU8" s="335"/>
      <c r="FV8" s="335"/>
      <c r="FW8" s="335"/>
      <c r="FX8" s="335"/>
      <c r="FY8" s="335"/>
      <c r="FZ8" s="335"/>
      <c r="GA8" s="335"/>
      <c r="GB8" s="335"/>
      <c r="GC8" s="335"/>
      <c r="GD8" s="335"/>
      <c r="GE8" s="335"/>
      <c r="GF8" s="335"/>
      <c r="GG8" s="335"/>
      <c r="GH8" s="335"/>
      <c r="GI8" s="335"/>
      <c r="GJ8" s="335"/>
      <c r="GK8" s="335"/>
      <c r="GL8" s="335"/>
      <c r="GM8" s="335"/>
      <c r="GN8" s="335"/>
      <c r="GO8" s="335"/>
      <c r="GP8" s="335"/>
      <c r="GQ8" s="335"/>
      <c r="GR8" s="335"/>
      <c r="GS8" s="335"/>
      <c r="GT8" s="335"/>
      <c r="GU8" s="335"/>
      <c r="GV8" s="335"/>
      <c r="GW8" s="335"/>
      <c r="GX8" s="335"/>
      <c r="GY8" s="335"/>
      <c r="GZ8" s="335"/>
      <c r="HA8" s="335"/>
      <c r="HB8" s="335"/>
      <c r="HC8" s="335"/>
      <c r="HD8" s="335"/>
      <c r="HE8" s="335"/>
      <c r="HF8" s="335"/>
      <c r="HG8" s="335"/>
      <c r="HH8" s="335"/>
      <c r="HI8" s="335"/>
      <c r="HJ8" s="335"/>
      <c r="HK8" s="335"/>
      <c r="HL8" s="335"/>
      <c r="HM8" s="335"/>
      <c r="HN8" s="335"/>
      <c r="HO8" s="335"/>
      <c r="HP8" s="335"/>
      <c r="HQ8" s="335"/>
      <c r="HR8" s="335"/>
      <c r="HS8" s="335"/>
      <c r="HT8" s="335"/>
      <c r="HU8" s="335"/>
      <c r="HV8" s="335"/>
      <c r="HW8" s="335"/>
      <c r="HX8" s="335"/>
      <c r="HY8" s="335"/>
      <c r="HZ8" s="335"/>
      <c r="IA8" s="335"/>
      <c r="IB8" s="335"/>
      <c r="IC8" s="335"/>
      <c r="ID8" s="335"/>
      <c r="IE8" s="335"/>
      <c r="IF8" s="335"/>
      <c r="IG8" s="335"/>
      <c r="IH8" s="335"/>
      <c r="II8" s="335"/>
      <c r="IJ8" s="335"/>
      <c r="IK8" s="335"/>
      <c r="IL8" s="335"/>
      <c r="IM8" s="335"/>
      <c r="IN8" s="335"/>
      <c r="IO8" s="335"/>
      <c r="IP8" s="335"/>
      <c r="IQ8" s="335"/>
      <c r="IR8" s="335"/>
      <c r="IS8" s="335"/>
      <c r="IT8" s="335"/>
      <c r="IU8" s="335"/>
      <c r="IV8" s="335"/>
    </row>
    <row r="9" spans="1:22" s="334" customFormat="1" ht="17.25" customHeight="1">
      <c r="A9" s="312" t="s">
        <v>1076</v>
      </c>
      <c r="B9" s="313" t="s">
        <v>464</v>
      </c>
      <c r="C9" s="313" t="s">
        <v>464</v>
      </c>
      <c r="D9" s="313" t="s">
        <v>464</v>
      </c>
      <c r="E9" s="1420" t="s">
        <v>464</v>
      </c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</row>
    <row r="10" spans="1:22" s="334" customFormat="1" ht="17.25" customHeight="1">
      <c r="A10" s="312" t="s">
        <v>528</v>
      </c>
      <c r="B10" s="313" t="s">
        <v>464</v>
      </c>
      <c r="C10" s="313" t="s">
        <v>464</v>
      </c>
      <c r="D10" s="313" t="s">
        <v>464</v>
      </c>
      <c r="E10" s="1909" t="s">
        <v>464</v>
      </c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</row>
    <row r="11" spans="1:22" s="334" customFormat="1" ht="17.25" customHeight="1" thickBot="1">
      <c r="A11" s="1416" t="s">
        <v>1505</v>
      </c>
      <c r="B11" s="325" t="s">
        <v>464</v>
      </c>
      <c r="C11" s="325" t="s">
        <v>464</v>
      </c>
      <c r="D11" s="325" t="s">
        <v>464</v>
      </c>
      <c r="E11" s="1691" t="s">
        <v>464</v>
      </c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</row>
    <row r="12" spans="1:22" s="334" customFormat="1" ht="17.25" customHeight="1">
      <c r="A12" s="1419" t="s">
        <v>1504</v>
      </c>
      <c r="B12" s="1421"/>
      <c r="C12" s="310"/>
      <c r="D12" s="310"/>
      <c r="E12" s="311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</row>
    <row r="13" spans="1:256" s="334" customFormat="1" ht="17.25" customHeight="1">
      <c r="A13" s="316" t="s">
        <v>1077</v>
      </c>
      <c r="B13" s="313" t="s">
        <v>464</v>
      </c>
      <c r="C13" s="317">
        <v>31124</v>
      </c>
      <c r="D13" s="313" t="s">
        <v>464</v>
      </c>
      <c r="E13" s="322">
        <f>SUM(B13:D13)</f>
        <v>31124</v>
      </c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  <c r="IM13" s="335"/>
      <c r="IN13" s="335"/>
      <c r="IO13" s="335"/>
      <c r="IP13" s="335"/>
      <c r="IQ13" s="335"/>
      <c r="IR13" s="335"/>
      <c r="IS13" s="335"/>
      <c r="IT13" s="335"/>
      <c r="IU13" s="335"/>
      <c r="IV13" s="335"/>
    </row>
    <row r="14" spans="1:22" s="334" customFormat="1" ht="17.25" customHeight="1">
      <c r="A14" s="312" t="s">
        <v>1078</v>
      </c>
      <c r="B14" s="313" t="s">
        <v>464</v>
      </c>
      <c r="C14" s="313" t="s">
        <v>464</v>
      </c>
      <c r="D14" s="313" t="s">
        <v>464</v>
      </c>
      <c r="E14" s="1429" t="s">
        <v>464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</row>
    <row r="15" spans="1:22" s="334" customFormat="1" ht="17.25" customHeight="1" thickBot="1">
      <c r="A15" s="1416" t="s">
        <v>1079</v>
      </c>
      <c r="B15" s="325" t="s">
        <v>464</v>
      </c>
      <c r="C15" s="325" t="s">
        <v>464</v>
      </c>
      <c r="D15" s="325" t="s">
        <v>464</v>
      </c>
      <c r="E15" s="2160" t="s">
        <v>464</v>
      </c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</row>
    <row r="16" spans="1:22" s="334" customFormat="1" ht="17.25" customHeight="1">
      <c r="A16" s="1419" t="s">
        <v>1080</v>
      </c>
      <c r="B16" s="310"/>
      <c r="C16" s="310"/>
      <c r="D16" s="310"/>
      <c r="E16" s="311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</row>
    <row r="17" spans="1:256" s="337" customFormat="1" ht="17.25" customHeight="1">
      <c r="A17" s="1422" t="s">
        <v>1081</v>
      </c>
      <c r="B17" s="1423">
        <v>75</v>
      </c>
      <c r="C17" s="1424">
        <v>1664300</v>
      </c>
      <c r="D17" s="1424">
        <v>568050</v>
      </c>
      <c r="E17" s="1425">
        <f>SUM(B17:D17)</f>
        <v>2232425</v>
      </c>
      <c r="F17" s="336"/>
      <c r="G17" s="2792" t="s">
        <v>394</v>
      </c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8"/>
      <c r="DJ17" s="338"/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8"/>
      <c r="DW17" s="338"/>
      <c r="DX17" s="338"/>
      <c r="DY17" s="338"/>
      <c r="DZ17" s="338"/>
      <c r="EA17" s="338"/>
      <c r="EB17" s="338"/>
      <c r="EC17" s="338"/>
      <c r="ED17" s="338"/>
      <c r="EE17" s="338"/>
      <c r="EF17" s="338"/>
      <c r="EG17" s="338"/>
      <c r="EH17" s="338"/>
      <c r="EI17" s="338"/>
      <c r="EJ17" s="338"/>
      <c r="EK17" s="338"/>
      <c r="EL17" s="338"/>
      <c r="EM17" s="338"/>
      <c r="EN17" s="338"/>
      <c r="EO17" s="338"/>
      <c r="EP17" s="338"/>
      <c r="EQ17" s="338"/>
      <c r="ER17" s="338"/>
      <c r="ES17" s="338"/>
      <c r="ET17" s="338"/>
      <c r="EU17" s="338"/>
      <c r="EV17" s="338"/>
      <c r="EW17" s="338"/>
      <c r="EX17" s="338"/>
      <c r="EY17" s="338"/>
      <c r="EZ17" s="338"/>
      <c r="FA17" s="338"/>
      <c r="FB17" s="338"/>
      <c r="FC17" s="338"/>
      <c r="FD17" s="338"/>
      <c r="FE17" s="338"/>
      <c r="FF17" s="338"/>
      <c r="FG17" s="338"/>
      <c r="FH17" s="338"/>
      <c r="FI17" s="338"/>
      <c r="FJ17" s="338"/>
      <c r="FK17" s="338"/>
      <c r="FL17" s="338"/>
      <c r="FM17" s="338"/>
      <c r="FN17" s="338"/>
      <c r="FO17" s="338"/>
      <c r="FP17" s="338"/>
      <c r="FQ17" s="338"/>
      <c r="FR17" s="338"/>
      <c r="FS17" s="338"/>
      <c r="FT17" s="338"/>
      <c r="FU17" s="338"/>
      <c r="FV17" s="338"/>
      <c r="FW17" s="338"/>
      <c r="FX17" s="338"/>
      <c r="FY17" s="338"/>
      <c r="FZ17" s="338"/>
      <c r="GA17" s="338"/>
      <c r="GB17" s="338"/>
      <c r="GC17" s="338"/>
      <c r="GD17" s="338"/>
      <c r="GE17" s="338"/>
      <c r="GF17" s="338"/>
      <c r="GG17" s="338"/>
      <c r="GH17" s="338"/>
      <c r="GI17" s="338"/>
      <c r="GJ17" s="338"/>
      <c r="GK17" s="338"/>
      <c r="GL17" s="338"/>
      <c r="GM17" s="338"/>
      <c r="GN17" s="338"/>
      <c r="GO17" s="338"/>
      <c r="GP17" s="338"/>
      <c r="GQ17" s="338"/>
      <c r="GR17" s="338"/>
      <c r="GS17" s="338"/>
      <c r="GT17" s="338"/>
      <c r="GU17" s="338"/>
      <c r="GV17" s="338"/>
      <c r="GW17" s="338"/>
      <c r="GX17" s="338"/>
      <c r="GY17" s="338"/>
      <c r="GZ17" s="338"/>
      <c r="HA17" s="338"/>
      <c r="HB17" s="338"/>
      <c r="HC17" s="338"/>
      <c r="HD17" s="338"/>
      <c r="HE17" s="338"/>
      <c r="HF17" s="338"/>
      <c r="HG17" s="338"/>
      <c r="HH17" s="338"/>
      <c r="HI17" s="338"/>
      <c r="HJ17" s="338"/>
      <c r="HK17" s="338"/>
      <c r="HL17" s="338"/>
      <c r="HM17" s="338"/>
      <c r="HN17" s="338"/>
      <c r="HO17" s="338"/>
      <c r="HP17" s="338"/>
      <c r="HQ17" s="338"/>
      <c r="HR17" s="338"/>
      <c r="HS17" s="338"/>
      <c r="HT17" s="338"/>
      <c r="HU17" s="338"/>
      <c r="HV17" s="338"/>
      <c r="HW17" s="338"/>
      <c r="HX17" s="338"/>
      <c r="HY17" s="338"/>
      <c r="HZ17" s="338"/>
      <c r="IA17" s="338"/>
      <c r="IB17" s="338"/>
      <c r="IC17" s="338"/>
      <c r="ID17" s="338"/>
      <c r="IE17" s="338"/>
      <c r="IF17" s="338"/>
      <c r="IG17" s="338"/>
      <c r="IH17" s="338"/>
      <c r="II17" s="338"/>
      <c r="IJ17" s="338"/>
      <c r="IK17" s="338"/>
      <c r="IL17" s="338"/>
      <c r="IM17" s="338"/>
      <c r="IN17" s="338"/>
      <c r="IO17" s="338"/>
      <c r="IP17" s="338"/>
      <c r="IQ17" s="338"/>
      <c r="IR17" s="338"/>
      <c r="IS17" s="338"/>
      <c r="IT17" s="338"/>
      <c r="IU17" s="338"/>
      <c r="IV17" s="338"/>
    </row>
    <row r="18" spans="1:22" s="334" customFormat="1" ht="17.25" customHeight="1">
      <c r="A18" s="323" t="s">
        <v>428</v>
      </c>
      <c r="B18" s="1423">
        <v>108</v>
      </c>
      <c r="C18" s="1423" t="s">
        <v>464</v>
      </c>
      <c r="D18" s="1423" t="s">
        <v>464</v>
      </c>
      <c r="E18" s="1425">
        <f>SUM(B18:D18)</f>
        <v>108</v>
      </c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</row>
    <row r="19" spans="1:22" s="334" customFormat="1" ht="17.25" customHeight="1">
      <c r="A19" s="316" t="s">
        <v>1082</v>
      </c>
      <c r="B19" s="1426">
        <v>21295</v>
      </c>
      <c r="C19" s="1423"/>
      <c r="D19" s="1423" t="s">
        <v>464</v>
      </c>
      <c r="E19" s="322">
        <f>SUM(B19:D19)</f>
        <v>21295</v>
      </c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</row>
    <row r="20" spans="1:22" s="334" customFormat="1" ht="17.25" customHeight="1" thickBot="1">
      <c r="A20" s="1427" t="s">
        <v>1615</v>
      </c>
      <c r="B20" s="325" t="s">
        <v>464</v>
      </c>
      <c r="C20" s="1428" t="s">
        <v>464</v>
      </c>
      <c r="D20" s="1428" t="s">
        <v>464</v>
      </c>
      <c r="E20" s="1429" t="s">
        <v>464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</row>
    <row r="21" spans="1:22" s="334" customFormat="1" ht="17.25" customHeight="1">
      <c r="A21" s="1413" t="s">
        <v>1083</v>
      </c>
      <c r="B21" s="310"/>
      <c r="C21" s="310"/>
      <c r="D21" s="310"/>
      <c r="E21" s="311"/>
      <c r="F21" s="333"/>
      <c r="G21" s="333"/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</row>
    <row r="22" spans="1:22" s="334" customFormat="1" ht="17.25" customHeight="1">
      <c r="A22" s="316" t="s">
        <v>1263</v>
      </c>
      <c r="B22" s="317">
        <v>69</v>
      </c>
      <c r="C22" s="317">
        <v>2456132</v>
      </c>
      <c r="D22" s="313"/>
      <c r="E22" s="322">
        <f>SUM(B22:D22)</f>
        <v>2456201</v>
      </c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</row>
    <row r="23" spans="1:22" s="334" customFormat="1" ht="17.25" customHeight="1">
      <c r="A23" s="316" t="s">
        <v>1084</v>
      </c>
      <c r="B23" s="319" t="s">
        <v>464</v>
      </c>
      <c r="C23" s="313" t="s">
        <v>464</v>
      </c>
      <c r="D23" s="313" t="s">
        <v>464</v>
      </c>
      <c r="E23" s="1429" t="s">
        <v>464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</row>
    <row r="24" spans="1:256" s="334" customFormat="1" ht="17.25" customHeight="1">
      <c r="A24" s="316" t="s">
        <v>1085</v>
      </c>
      <c r="B24" s="319" t="s">
        <v>464</v>
      </c>
      <c r="C24" s="313" t="s">
        <v>464</v>
      </c>
      <c r="D24" s="313" t="s">
        <v>464</v>
      </c>
      <c r="E24" s="1429" t="s">
        <v>464</v>
      </c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335"/>
      <c r="CH24" s="335"/>
      <c r="CI24" s="335"/>
      <c r="CJ24" s="335"/>
      <c r="CK24" s="335"/>
      <c r="CL24" s="335"/>
      <c r="CM24" s="335"/>
      <c r="CN24" s="335"/>
      <c r="CO24" s="335"/>
      <c r="CP24" s="335"/>
      <c r="CQ24" s="335"/>
      <c r="CR24" s="335"/>
      <c r="CS24" s="335"/>
      <c r="CT24" s="335"/>
      <c r="CU24" s="335"/>
      <c r="CV24" s="335"/>
      <c r="CW24" s="335"/>
      <c r="CX24" s="335"/>
      <c r="CY24" s="335"/>
      <c r="CZ24" s="335"/>
      <c r="DA24" s="335"/>
      <c r="DB24" s="335"/>
      <c r="DC24" s="335"/>
      <c r="DD24" s="335"/>
      <c r="DE24" s="335"/>
      <c r="DF24" s="335"/>
      <c r="DG24" s="335"/>
      <c r="DH24" s="335"/>
      <c r="DI24" s="335"/>
      <c r="DJ24" s="335"/>
      <c r="DK24" s="335"/>
      <c r="DL24" s="335"/>
      <c r="DM24" s="335"/>
      <c r="DN24" s="335"/>
      <c r="DO24" s="335"/>
      <c r="DP24" s="335"/>
      <c r="DQ24" s="335"/>
      <c r="DR24" s="335"/>
      <c r="DS24" s="335"/>
      <c r="DT24" s="335"/>
      <c r="DU24" s="335"/>
      <c r="DV24" s="335"/>
      <c r="DW24" s="335"/>
      <c r="DX24" s="335"/>
      <c r="DY24" s="335"/>
      <c r="DZ24" s="335"/>
      <c r="EA24" s="335"/>
      <c r="EB24" s="335"/>
      <c r="EC24" s="335"/>
      <c r="ED24" s="335"/>
      <c r="EE24" s="335"/>
      <c r="EF24" s="335"/>
      <c r="EG24" s="335"/>
      <c r="EH24" s="335"/>
      <c r="EI24" s="335"/>
      <c r="EJ24" s="335"/>
      <c r="EK24" s="335"/>
      <c r="EL24" s="335"/>
      <c r="EM24" s="335"/>
      <c r="EN24" s="335"/>
      <c r="EO24" s="335"/>
      <c r="EP24" s="335"/>
      <c r="EQ24" s="335"/>
      <c r="ER24" s="335"/>
      <c r="ES24" s="335"/>
      <c r="ET24" s="335"/>
      <c r="EU24" s="335"/>
      <c r="EV24" s="335"/>
      <c r="EW24" s="335"/>
      <c r="EX24" s="335"/>
      <c r="EY24" s="335"/>
      <c r="EZ24" s="335"/>
      <c r="FA24" s="335"/>
      <c r="FB24" s="335"/>
      <c r="FC24" s="335"/>
      <c r="FD24" s="335"/>
      <c r="FE24" s="335"/>
      <c r="FF24" s="335"/>
      <c r="FG24" s="335"/>
      <c r="FH24" s="335"/>
      <c r="FI24" s="335"/>
      <c r="FJ24" s="335"/>
      <c r="FK24" s="335"/>
      <c r="FL24" s="335"/>
      <c r="FM24" s="335"/>
      <c r="FN24" s="335"/>
      <c r="FO24" s="335"/>
      <c r="FP24" s="335"/>
      <c r="FQ24" s="335"/>
      <c r="FR24" s="335"/>
      <c r="FS24" s="335"/>
      <c r="FT24" s="335"/>
      <c r="FU24" s="335"/>
      <c r="FV24" s="335"/>
      <c r="FW24" s="335"/>
      <c r="FX24" s="335"/>
      <c r="FY24" s="335"/>
      <c r="FZ24" s="335"/>
      <c r="GA24" s="335"/>
      <c r="GB24" s="335"/>
      <c r="GC24" s="335"/>
      <c r="GD24" s="335"/>
      <c r="GE24" s="335"/>
      <c r="GF24" s="335"/>
      <c r="GG24" s="335"/>
      <c r="GH24" s="335"/>
      <c r="GI24" s="335"/>
      <c r="GJ24" s="335"/>
      <c r="GK24" s="335"/>
      <c r="GL24" s="335"/>
      <c r="GM24" s="335"/>
      <c r="GN24" s="335"/>
      <c r="GO24" s="335"/>
      <c r="GP24" s="335"/>
      <c r="GQ24" s="335"/>
      <c r="GR24" s="335"/>
      <c r="GS24" s="335"/>
      <c r="GT24" s="335"/>
      <c r="GU24" s="335"/>
      <c r="GV24" s="335"/>
      <c r="GW24" s="335"/>
      <c r="GX24" s="335"/>
      <c r="GY24" s="335"/>
      <c r="GZ24" s="335"/>
      <c r="HA24" s="335"/>
      <c r="HB24" s="335"/>
      <c r="HC24" s="335"/>
      <c r="HD24" s="335"/>
      <c r="HE24" s="335"/>
      <c r="HF24" s="335"/>
      <c r="HG24" s="335"/>
      <c r="HH24" s="335"/>
      <c r="HI24" s="335"/>
      <c r="HJ24" s="335"/>
      <c r="HK24" s="335"/>
      <c r="HL24" s="335"/>
      <c r="HM24" s="335"/>
      <c r="HN24" s="335"/>
      <c r="HO24" s="335"/>
      <c r="HP24" s="335"/>
      <c r="HQ24" s="335"/>
      <c r="HR24" s="335"/>
      <c r="HS24" s="335"/>
      <c r="HT24" s="335"/>
      <c r="HU24" s="335"/>
      <c r="HV24" s="335"/>
      <c r="HW24" s="335"/>
      <c r="HX24" s="335"/>
      <c r="HY24" s="335"/>
      <c r="HZ24" s="335"/>
      <c r="IA24" s="335"/>
      <c r="IB24" s="335"/>
      <c r="IC24" s="335"/>
      <c r="ID24" s="335"/>
      <c r="IE24" s="335"/>
      <c r="IF24" s="335"/>
      <c r="IG24" s="335"/>
      <c r="IH24" s="335"/>
      <c r="II24" s="335"/>
      <c r="IJ24" s="335"/>
      <c r="IK24" s="335"/>
      <c r="IL24" s="335"/>
      <c r="IM24" s="335"/>
      <c r="IN24" s="335"/>
      <c r="IO24" s="335"/>
      <c r="IP24" s="335"/>
      <c r="IQ24" s="335"/>
      <c r="IR24" s="335"/>
      <c r="IS24" s="335"/>
      <c r="IT24" s="335"/>
      <c r="IU24" s="335"/>
      <c r="IV24" s="335"/>
    </row>
    <row r="25" spans="1:256" s="334" customFormat="1" ht="17.25" customHeight="1">
      <c r="A25" s="316" t="s">
        <v>1652</v>
      </c>
      <c r="B25" s="218"/>
      <c r="C25" s="313" t="s">
        <v>464</v>
      </c>
      <c r="D25" s="313">
        <v>495</v>
      </c>
      <c r="E25" s="322">
        <f>SUM(B25:D25)</f>
        <v>495</v>
      </c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5"/>
      <c r="CJ25" s="335"/>
      <c r="CK25" s="335"/>
      <c r="CL25" s="335"/>
      <c r="CM25" s="335"/>
      <c r="CN25" s="335"/>
      <c r="CO25" s="335"/>
      <c r="CP25" s="335"/>
      <c r="CQ25" s="335"/>
      <c r="CR25" s="335"/>
      <c r="CS25" s="335"/>
      <c r="CT25" s="335"/>
      <c r="CU25" s="335"/>
      <c r="CV25" s="335"/>
      <c r="CW25" s="335"/>
      <c r="CX25" s="335"/>
      <c r="CY25" s="335"/>
      <c r="CZ25" s="335"/>
      <c r="DA25" s="335"/>
      <c r="DB25" s="335"/>
      <c r="DC25" s="335"/>
      <c r="DD25" s="335"/>
      <c r="DE25" s="335"/>
      <c r="DF25" s="335"/>
      <c r="DG25" s="335"/>
      <c r="DH25" s="335"/>
      <c r="DI25" s="335"/>
      <c r="DJ25" s="335"/>
      <c r="DK25" s="335"/>
      <c r="DL25" s="335"/>
      <c r="DM25" s="335"/>
      <c r="DN25" s="335"/>
      <c r="DO25" s="335"/>
      <c r="DP25" s="335"/>
      <c r="DQ25" s="335"/>
      <c r="DR25" s="335"/>
      <c r="DS25" s="335"/>
      <c r="DT25" s="335"/>
      <c r="DU25" s="335"/>
      <c r="DV25" s="335"/>
      <c r="DW25" s="335"/>
      <c r="DX25" s="335"/>
      <c r="DY25" s="335"/>
      <c r="DZ25" s="335"/>
      <c r="EA25" s="335"/>
      <c r="EB25" s="335"/>
      <c r="EC25" s="335"/>
      <c r="ED25" s="335"/>
      <c r="EE25" s="335"/>
      <c r="EF25" s="335"/>
      <c r="EG25" s="335"/>
      <c r="EH25" s="335"/>
      <c r="EI25" s="335"/>
      <c r="EJ25" s="335"/>
      <c r="EK25" s="335"/>
      <c r="EL25" s="335"/>
      <c r="EM25" s="335"/>
      <c r="EN25" s="335"/>
      <c r="EO25" s="335"/>
      <c r="EP25" s="335"/>
      <c r="EQ25" s="335"/>
      <c r="ER25" s="335"/>
      <c r="ES25" s="335"/>
      <c r="ET25" s="335"/>
      <c r="EU25" s="335"/>
      <c r="EV25" s="335"/>
      <c r="EW25" s="335"/>
      <c r="EX25" s="335"/>
      <c r="EY25" s="335"/>
      <c r="EZ25" s="335"/>
      <c r="FA25" s="335"/>
      <c r="FB25" s="335"/>
      <c r="FC25" s="335"/>
      <c r="FD25" s="335"/>
      <c r="FE25" s="335"/>
      <c r="FF25" s="335"/>
      <c r="FG25" s="335"/>
      <c r="FH25" s="335"/>
      <c r="FI25" s="335"/>
      <c r="FJ25" s="335"/>
      <c r="FK25" s="335"/>
      <c r="FL25" s="335"/>
      <c r="FM25" s="335"/>
      <c r="FN25" s="335"/>
      <c r="FO25" s="335"/>
      <c r="FP25" s="335"/>
      <c r="FQ25" s="335"/>
      <c r="FR25" s="335"/>
      <c r="FS25" s="335"/>
      <c r="FT25" s="335"/>
      <c r="FU25" s="335"/>
      <c r="FV25" s="335"/>
      <c r="FW25" s="335"/>
      <c r="FX25" s="335"/>
      <c r="FY25" s="335"/>
      <c r="FZ25" s="335"/>
      <c r="GA25" s="335"/>
      <c r="GB25" s="335"/>
      <c r="GC25" s="335"/>
      <c r="GD25" s="335"/>
      <c r="GE25" s="335"/>
      <c r="GF25" s="335"/>
      <c r="GG25" s="335"/>
      <c r="GH25" s="335"/>
      <c r="GI25" s="335"/>
      <c r="GJ25" s="335"/>
      <c r="GK25" s="335"/>
      <c r="GL25" s="335"/>
      <c r="GM25" s="335"/>
      <c r="GN25" s="335"/>
      <c r="GO25" s="335"/>
      <c r="GP25" s="335"/>
      <c r="GQ25" s="335"/>
      <c r="GR25" s="335"/>
      <c r="GS25" s="335"/>
      <c r="GT25" s="335"/>
      <c r="GU25" s="335"/>
      <c r="GV25" s="335"/>
      <c r="GW25" s="335"/>
      <c r="GX25" s="335"/>
      <c r="GY25" s="335"/>
      <c r="GZ25" s="335"/>
      <c r="HA25" s="335"/>
      <c r="HB25" s="335"/>
      <c r="HC25" s="335"/>
      <c r="HD25" s="335"/>
      <c r="HE25" s="335"/>
      <c r="HF25" s="335"/>
      <c r="HG25" s="335"/>
      <c r="HH25" s="335"/>
      <c r="HI25" s="335"/>
      <c r="HJ25" s="335"/>
      <c r="HK25" s="335"/>
      <c r="HL25" s="335"/>
      <c r="HM25" s="335"/>
      <c r="HN25" s="335"/>
      <c r="HO25" s="335"/>
      <c r="HP25" s="335"/>
      <c r="HQ25" s="335"/>
      <c r="HR25" s="335"/>
      <c r="HS25" s="335"/>
      <c r="HT25" s="335"/>
      <c r="HU25" s="335"/>
      <c r="HV25" s="335"/>
      <c r="HW25" s="335"/>
      <c r="HX25" s="335"/>
      <c r="HY25" s="335"/>
      <c r="HZ25" s="335"/>
      <c r="IA25" s="335"/>
      <c r="IB25" s="335"/>
      <c r="IC25" s="335"/>
      <c r="ID25" s="335"/>
      <c r="IE25" s="335"/>
      <c r="IF25" s="335"/>
      <c r="IG25" s="335"/>
      <c r="IH25" s="335"/>
      <c r="II25" s="335"/>
      <c r="IJ25" s="335"/>
      <c r="IK25" s="335"/>
      <c r="IL25" s="335"/>
      <c r="IM25" s="335"/>
      <c r="IN25" s="335"/>
      <c r="IO25" s="335"/>
      <c r="IP25" s="335"/>
      <c r="IQ25" s="335"/>
      <c r="IR25" s="335"/>
      <c r="IS25" s="335"/>
      <c r="IT25" s="335"/>
      <c r="IU25" s="335"/>
      <c r="IV25" s="335"/>
    </row>
    <row r="26" spans="1:256" s="334" customFormat="1" ht="17.25" customHeight="1">
      <c r="A26" s="316" t="s">
        <v>1086</v>
      </c>
      <c r="B26" s="320" t="s">
        <v>464</v>
      </c>
      <c r="C26" s="313" t="s">
        <v>464</v>
      </c>
      <c r="D26" s="313" t="s">
        <v>464</v>
      </c>
      <c r="E26" s="1429" t="s">
        <v>464</v>
      </c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5"/>
      <c r="DJ26" s="335"/>
      <c r="DK26" s="335"/>
      <c r="DL26" s="335"/>
      <c r="DM26" s="335"/>
      <c r="DN26" s="335"/>
      <c r="DO26" s="335"/>
      <c r="DP26" s="335"/>
      <c r="DQ26" s="335"/>
      <c r="DR26" s="335"/>
      <c r="DS26" s="335"/>
      <c r="DT26" s="335"/>
      <c r="DU26" s="335"/>
      <c r="DV26" s="335"/>
      <c r="DW26" s="335"/>
      <c r="DX26" s="335"/>
      <c r="DY26" s="335"/>
      <c r="DZ26" s="335"/>
      <c r="EA26" s="335"/>
      <c r="EB26" s="335"/>
      <c r="EC26" s="335"/>
      <c r="ED26" s="335"/>
      <c r="EE26" s="335"/>
      <c r="EF26" s="335"/>
      <c r="EG26" s="335"/>
      <c r="EH26" s="335"/>
      <c r="EI26" s="335"/>
      <c r="EJ26" s="335"/>
      <c r="EK26" s="335"/>
      <c r="EL26" s="335"/>
      <c r="EM26" s="335"/>
      <c r="EN26" s="335"/>
      <c r="EO26" s="335"/>
      <c r="EP26" s="335"/>
      <c r="EQ26" s="335"/>
      <c r="ER26" s="335"/>
      <c r="ES26" s="335"/>
      <c r="ET26" s="335"/>
      <c r="EU26" s="335"/>
      <c r="EV26" s="335"/>
      <c r="EW26" s="335"/>
      <c r="EX26" s="335"/>
      <c r="EY26" s="335"/>
      <c r="EZ26" s="335"/>
      <c r="FA26" s="335"/>
      <c r="FB26" s="335"/>
      <c r="FC26" s="335"/>
      <c r="FD26" s="335"/>
      <c r="FE26" s="335"/>
      <c r="FF26" s="335"/>
      <c r="FG26" s="335"/>
      <c r="FH26" s="335"/>
      <c r="FI26" s="335"/>
      <c r="FJ26" s="335"/>
      <c r="FK26" s="335"/>
      <c r="FL26" s="335"/>
      <c r="FM26" s="335"/>
      <c r="FN26" s="335"/>
      <c r="FO26" s="335"/>
      <c r="FP26" s="335"/>
      <c r="FQ26" s="335"/>
      <c r="FR26" s="335"/>
      <c r="FS26" s="335"/>
      <c r="FT26" s="335"/>
      <c r="FU26" s="335"/>
      <c r="FV26" s="335"/>
      <c r="FW26" s="335"/>
      <c r="FX26" s="335"/>
      <c r="FY26" s="335"/>
      <c r="FZ26" s="335"/>
      <c r="GA26" s="335"/>
      <c r="GB26" s="335"/>
      <c r="GC26" s="335"/>
      <c r="GD26" s="335"/>
      <c r="GE26" s="335"/>
      <c r="GF26" s="335"/>
      <c r="GG26" s="335"/>
      <c r="GH26" s="335"/>
      <c r="GI26" s="335"/>
      <c r="GJ26" s="335"/>
      <c r="GK26" s="335"/>
      <c r="GL26" s="335"/>
      <c r="GM26" s="335"/>
      <c r="GN26" s="335"/>
      <c r="GO26" s="335"/>
      <c r="GP26" s="335"/>
      <c r="GQ26" s="335"/>
      <c r="GR26" s="335"/>
      <c r="GS26" s="335"/>
      <c r="GT26" s="335"/>
      <c r="GU26" s="335"/>
      <c r="GV26" s="335"/>
      <c r="GW26" s="335"/>
      <c r="GX26" s="335"/>
      <c r="GY26" s="335"/>
      <c r="GZ26" s="335"/>
      <c r="HA26" s="335"/>
      <c r="HB26" s="335"/>
      <c r="HC26" s="335"/>
      <c r="HD26" s="335"/>
      <c r="HE26" s="335"/>
      <c r="HF26" s="335"/>
      <c r="HG26" s="335"/>
      <c r="HH26" s="335"/>
      <c r="HI26" s="335"/>
      <c r="HJ26" s="335"/>
      <c r="HK26" s="335"/>
      <c r="HL26" s="335"/>
      <c r="HM26" s="335"/>
      <c r="HN26" s="335"/>
      <c r="HO26" s="335"/>
      <c r="HP26" s="335"/>
      <c r="HQ26" s="335"/>
      <c r="HR26" s="335"/>
      <c r="HS26" s="335"/>
      <c r="HT26" s="335"/>
      <c r="HU26" s="335"/>
      <c r="HV26" s="335"/>
      <c r="HW26" s="335"/>
      <c r="HX26" s="335"/>
      <c r="HY26" s="335"/>
      <c r="HZ26" s="335"/>
      <c r="IA26" s="335"/>
      <c r="IB26" s="335"/>
      <c r="IC26" s="335"/>
      <c r="ID26" s="335"/>
      <c r="IE26" s="335"/>
      <c r="IF26" s="335"/>
      <c r="IG26" s="335"/>
      <c r="IH26" s="335"/>
      <c r="II26" s="335"/>
      <c r="IJ26" s="335"/>
      <c r="IK26" s="335"/>
      <c r="IL26" s="335"/>
      <c r="IM26" s="335"/>
      <c r="IN26" s="335"/>
      <c r="IO26" s="335"/>
      <c r="IP26" s="335"/>
      <c r="IQ26" s="335"/>
      <c r="IR26" s="335"/>
      <c r="IS26" s="335"/>
      <c r="IT26" s="335"/>
      <c r="IU26" s="335"/>
      <c r="IV26" s="335"/>
    </row>
    <row r="27" spans="1:256" s="334" customFormat="1" ht="17.25" customHeight="1">
      <c r="A27" s="316" t="s">
        <v>1087</v>
      </c>
      <c r="B27" s="320" t="s">
        <v>464</v>
      </c>
      <c r="C27" s="1423"/>
      <c r="D27" s="313" t="s">
        <v>464</v>
      </c>
      <c r="E27" s="1429" t="s">
        <v>464</v>
      </c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335"/>
      <c r="CH27" s="335"/>
      <c r="CI27" s="335"/>
      <c r="CJ27" s="335"/>
      <c r="CK27" s="335"/>
      <c r="CL27" s="335"/>
      <c r="CM27" s="335"/>
      <c r="CN27" s="335"/>
      <c r="CO27" s="335"/>
      <c r="CP27" s="335"/>
      <c r="CQ27" s="335"/>
      <c r="CR27" s="335"/>
      <c r="CS27" s="335"/>
      <c r="CT27" s="335"/>
      <c r="CU27" s="335"/>
      <c r="CV27" s="335"/>
      <c r="CW27" s="335"/>
      <c r="CX27" s="335"/>
      <c r="CY27" s="335"/>
      <c r="CZ27" s="335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335"/>
      <c r="DL27" s="335"/>
      <c r="DM27" s="335"/>
      <c r="DN27" s="335"/>
      <c r="DO27" s="335"/>
      <c r="DP27" s="335"/>
      <c r="DQ27" s="335"/>
      <c r="DR27" s="335"/>
      <c r="DS27" s="335"/>
      <c r="DT27" s="335"/>
      <c r="DU27" s="335"/>
      <c r="DV27" s="335"/>
      <c r="DW27" s="335"/>
      <c r="DX27" s="335"/>
      <c r="DY27" s="335"/>
      <c r="DZ27" s="335"/>
      <c r="EA27" s="335"/>
      <c r="EB27" s="335"/>
      <c r="EC27" s="335"/>
      <c r="ED27" s="335"/>
      <c r="EE27" s="335"/>
      <c r="EF27" s="335"/>
      <c r="EG27" s="335"/>
      <c r="EH27" s="335"/>
      <c r="EI27" s="335"/>
      <c r="EJ27" s="335"/>
      <c r="EK27" s="335"/>
      <c r="EL27" s="335"/>
      <c r="EM27" s="335"/>
      <c r="EN27" s="335"/>
      <c r="EO27" s="335"/>
      <c r="EP27" s="335"/>
      <c r="EQ27" s="335"/>
      <c r="ER27" s="335"/>
      <c r="ES27" s="335"/>
      <c r="ET27" s="335"/>
      <c r="EU27" s="335"/>
      <c r="EV27" s="335"/>
      <c r="EW27" s="335"/>
      <c r="EX27" s="335"/>
      <c r="EY27" s="335"/>
      <c r="EZ27" s="335"/>
      <c r="FA27" s="335"/>
      <c r="FB27" s="335"/>
      <c r="FC27" s="335"/>
      <c r="FD27" s="335"/>
      <c r="FE27" s="335"/>
      <c r="FF27" s="335"/>
      <c r="FG27" s="335"/>
      <c r="FH27" s="335"/>
      <c r="FI27" s="335"/>
      <c r="FJ27" s="335"/>
      <c r="FK27" s="335"/>
      <c r="FL27" s="335"/>
      <c r="FM27" s="335"/>
      <c r="FN27" s="335"/>
      <c r="FO27" s="335"/>
      <c r="FP27" s="335"/>
      <c r="FQ27" s="335"/>
      <c r="FR27" s="335"/>
      <c r="FS27" s="335"/>
      <c r="FT27" s="335"/>
      <c r="FU27" s="335"/>
      <c r="FV27" s="335"/>
      <c r="FW27" s="335"/>
      <c r="FX27" s="335"/>
      <c r="FY27" s="335"/>
      <c r="FZ27" s="335"/>
      <c r="GA27" s="335"/>
      <c r="GB27" s="335"/>
      <c r="GC27" s="335"/>
      <c r="GD27" s="335"/>
      <c r="GE27" s="335"/>
      <c r="GF27" s="335"/>
      <c r="GG27" s="335"/>
      <c r="GH27" s="335"/>
      <c r="GI27" s="335"/>
      <c r="GJ27" s="335"/>
      <c r="GK27" s="335"/>
      <c r="GL27" s="335"/>
      <c r="GM27" s="335"/>
      <c r="GN27" s="335"/>
      <c r="GO27" s="335"/>
      <c r="GP27" s="335"/>
      <c r="GQ27" s="335"/>
      <c r="GR27" s="335"/>
      <c r="GS27" s="335"/>
      <c r="GT27" s="335"/>
      <c r="GU27" s="335"/>
      <c r="GV27" s="335"/>
      <c r="GW27" s="335"/>
      <c r="GX27" s="335"/>
      <c r="GY27" s="335"/>
      <c r="GZ27" s="335"/>
      <c r="HA27" s="335"/>
      <c r="HB27" s="335"/>
      <c r="HC27" s="335"/>
      <c r="HD27" s="335"/>
      <c r="HE27" s="335"/>
      <c r="HF27" s="335"/>
      <c r="HG27" s="335"/>
      <c r="HH27" s="335"/>
      <c r="HI27" s="335"/>
      <c r="HJ27" s="335"/>
      <c r="HK27" s="335"/>
      <c r="HL27" s="335"/>
      <c r="HM27" s="335"/>
      <c r="HN27" s="335"/>
      <c r="HO27" s="335"/>
      <c r="HP27" s="335"/>
      <c r="HQ27" s="335"/>
      <c r="HR27" s="335"/>
      <c r="HS27" s="335"/>
      <c r="HT27" s="335"/>
      <c r="HU27" s="335"/>
      <c r="HV27" s="335"/>
      <c r="HW27" s="335"/>
      <c r="HX27" s="335"/>
      <c r="HY27" s="335"/>
      <c r="HZ27" s="335"/>
      <c r="IA27" s="335"/>
      <c r="IB27" s="335"/>
      <c r="IC27" s="335"/>
      <c r="ID27" s="335"/>
      <c r="IE27" s="335"/>
      <c r="IF27" s="335"/>
      <c r="IG27" s="335"/>
      <c r="IH27" s="335"/>
      <c r="II27" s="335"/>
      <c r="IJ27" s="335"/>
      <c r="IK27" s="335"/>
      <c r="IL27" s="335"/>
      <c r="IM27" s="335"/>
      <c r="IN27" s="335"/>
      <c r="IO27" s="335"/>
      <c r="IP27" s="335"/>
      <c r="IQ27" s="335"/>
      <c r="IR27" s="335"/>
      <c r="IS27" s="335"/>
      <c r="IT27" s="335"/>
      <c r="IU27" s="335"/>
      <c r="IV27" s="335"/>
    </row>
    <row r="28" spans="1:256" s="334" customFormat="1" ht="17.25" customHeight="1">
      <c r="A28" s="323" t="s">
        <v>1616</v>
      </c>
      <c r="B28" s="320" t="s">
        <v>464</v>
      </c>
      <c r="C28" s="1423"/>
      <c r="D28" s="313" t="s">
        <v>464</v>
      </c>
      <c r="E28" s="1429" t="s">
        <v>464</v>
      </c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  <c r="CX28" s="335"/>
      <c r="CY28" s="335"/>
      <c r="CZ28" s="335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335"/>
      <c r="DL28" s="335"/>
      <c r="DM28" s="335"/>
      <c r="DN28" s="335"/>
      <c r="DO28" s="335"/>
      <c r="DP28" s="335"/>
      <c r="DQ28" s="335"/>
      <c r="DR28" s="335"/>
      <c r="DS28" s="335"/>
      <c r="DT28" s="335"/>
      <c r="DU28" s="335"/>
      <c r="DV28" s="335"/>
      <c r="DW28" s="335"/>
      <c r="DX28" s="335"/>
      <c r="DY28" s="335"/>
      <c r="DZ28" s="335"/>
      <c r="EA28" s="335"/>
      <c r="EB28" s="335"/>
      <c r="EC28" s="335"/>
      <c r="ED28" s="335"/>
      <c r="EE28" s="335"/>
      <c r="EF28" s="335"/>
      <c r="EG28" s="335"/>
      <c r="EH28" s="335"/>
      <c r="EI28" s="335"/>
      <c r="EJ28" s="335"/>
      <c r="EK28" s="335"/>
      <c r="EL28" s="335"/>
      <c r="EM28" s="335"/>
      <c r="EN28" s="335"/>
      <c r="EO28" s="335"/>
      <c r="EP28" s="335"/>
      <c r="EQ28" s="335"/>
      <c r="ER28" s="335"/>
      <c r="ES28" s="335"/>
      <c r="ET28" s="335"/>
      <c r="EU28" s="335"/>
      <c r="EV28" s="335"/>
      <c r="EW28" s="335"/>
      <c r="EX28" s="335"/>
      <c r="EY28" s="335"/>
      <c r="EZ28" s="335"/>
      <c r="FA28" s="335"/>
      <c r="FB28" s="335"/>
      <c r="FC28" s="335"/>
      <c r="FD28" s="335"/>
      <c r="FE28" s="335"/>
      <c r="FF28" s="335"/>
      <c r="FG28" s="335"/>
      <c r="FH28" s="335"/>
      <c r="FI28" s="335"/>
      <c r="FJ28" s="335"/>
      <c r="FK28" s="335"/>
      <c r="FL28" s="335"/>
      <c r="FM28" s="335"/>
      <c r="FN28" s="335"/>
      <c r="FO28" s="335"/>
      <c r="FP28" s="335"/>
      <c r="FQ28" s="335"/>
      <c r="FR28" s="335"/>
      <c r="FS28" s="335"/>
      <c r="FT28" s="335"/>
      <c r="FU28" s="335"/>
      <c r="FV28" s="335"/>
      <c r="FW28" s="335"/>
      <c r="FX28" s="335"/>
      <c r="FY28" s="335"/>
      <c r="FZ28" s="335"/>
      <c r="GA28" s="335"/>
      <c r="GB28" s="335"/>
      <c r="GC28" s="335"/>
      <c r="GD28" s="335"/>
      <c r="GE28" s="335"/>
      <c r="GF28" s="335"/>
      <c r="GG28" s="335"/>
      <c r="GH28" s="335"/>
      <c r="GI28" s="335"/>
      <c r="GJ28" s="335"/>
      <c r="GK28" s="335"/>
      <c r="GL28" s="335"/>
      <c r="GM28" s="335"/>
      <c r="GN28" s="335"/>
      <c r="GO28" s="335"/>
      <c r="GP28" s="335"/>
      <c r="GQ28" s="335"/>
      <c r="GR28" s="335"/>
      <c r="GS28" s="335"/>
      <c r="GT28" s="335"/>
      <c r="GU28" s="335"/>
      <c r="GV28" s="335"/>
      <c r="GW28" s="335"/>
      <c r="GX28" s="335"/>
      <c r="GY28" s="335"/>
      <c r="GZ28" s="335"/>
      <c r="HA28" s="335"/>
      <c r="HB28" s="335"/>
      <c r="HC28" s="335"/>
      <c r="HD28" s="335"/>
      <c r="HE28" s="335"/>
      <c r="HF28" s="335"/>
      <c r="HG28" s="335"/>
      <c r="HH28" s="335"/>
      <c r="HI28" s="335"/>
      <c r="HJ28" s="335"/>
      <c r="HK28" s="335"/>
      <c r="HL28" s="335"/>
      <c r="HM28" s="335"/>
      <c r="HN28" s="335"/>
      <c r="HO28" s="335"/>
      <c r="HP28" s="335"/>
      <c r="HQ28" s="335"/>
      <c r="HR28" s="335"/>
      <c r="HS28" s="335"/>
      <c r="HT28" s="335"/>
      <c r="HU28" s="335"/>
      <c r="HV28" s="335"/>
      <c r="HW28" s="335"/>
      <c r="HX28" s="335"/>
      <c r="HY28" s="335"/>
      <c r="HZ28" s="335"/>
      <c r="IA28" s="335"/>
      <c r="IB28" s="335"/>
      <c r="IC28" s="335"/>
      <c r="ID28" s="335"/>
      <c r="IE28" s="335"/>
      <c r="IF28" s="335"/>
      <c r="IG28" s="335"/>
      <c r="IH28" s="335"/>
      <c r="II28" s="335"/>
      <c r="IJ28" s="335"/>
      <c r="IK28" s="335"/>
      <c r="IL28" s="335"/>
      <c r="IM28" s="335"/>
      <c r="IN28" s="335"/>
      <c r="IO28" s="335"/>
      <c r="IP28" s="335"/>
      <c r="IQ28" s="335"/>
      <c r="IR28" s="335"/>
      <c r="IS28" s="335"/>
      <c r="IT28" s="335"/>
      <c r="IU28" s="335"/>
      <c r="IV28" s="335"/>
    </row>
    <row r="29" spans="1:256" s="334" customFormat="1" ht="17.25" customHeight="1">
      <c r="A29" s="316" t="s">
        <v>1088</v>
      </c>
      <c r="B29" s="319" t="s">
        <v>464</v>
      </c>
      <c r="C29" s="313" t="s">
        <v>464</v>
      </c>
      <c r="D29" s="313" t="s">
        <v>464</v>
      </c>
      <c r="E29" s="314" t="s">
        <v>464</v>
      </c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335"/>
      <c r="CH29" s="335"/>
      <c r="CI29" s="335"/>
      <c r="CJ29" s="335"/>
      <c r="CK29" s="335"/>
      <c r="CL29" s="335"/>
      <c r="CM29" s="335"/>
      <c r="CN29" s="335"/>
      <c r="CO29" s="335"/>
      <c r="CP29" s="335"/>
      <c r="CQ29" s="335"/>
      <c r="CR29" s="335"/>
      <c r="CS29" s="335"/>
      <c r="CT29" s="335"/>
      <c r="CU29" s="335"/>
      <c r="CV29" s="335"/>
      <c r="CW29" s="335"/>
      <c r="CX29" s="335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335"/>
      <c r="DL29" s="335"/>
      <c r="DM29" s="335"/>
      <c r="DN29" s="335"/>
      <c r="DO29" s="335"/>
      <c r="DP29" s="335"/>
      <c r="DQ29" s="335"/>
      <c r="DR29" s="335"/>
      <c r="DS29" s="335"/>
      <c r="DT29" s="335"/>
      <c r="DU29" s="335"/>
      <c r="DV29" s="335"/>
      <c r="DW29" s="335"/>
      <c r="DX29" s="335"/>
      <c r="DY29" s="335"/>
      <c r="DZ29" s="335"/>
      <c r="EA29" s="335"/>
      <c r="EB29" s="335"/>
      <c r="EC29" s="335"/>
      <c r="ED29" s="335"/>
      <c r="EE29" s="335"/>
      <c r="EF29" s="335"/>
      <c r="EG29" s="335"/>
      <c r="EH29" s="335"/>
      <c r="EI29" s="335"/>
      <c r="EJ29" s="335"/>
      <c r="EK29" s="335"/>
      <c r="EL29" s="335"/>
      <c r="EM29" s="335"/>
      <c r="EN29" s="335"/>
      <c r="EO29" s="335"/>
      <c r="EP29" s="335"/>
      <c r="EQ29" s="335"/>
      <c r="ER29" s="335"/>
      <c r="ES29" s="335"/>
      <c r="ET29" s="335"/>
      <c r="EU29" s="335"/>
      <c r="EV29" s="335"/>
      <c r="EW29" s="335"/>
      <c r="EX29" s="335"/>
      <c r="EY29" s="335"/>
      <c r="EZ29" s="335"/>
      <c r="FA29" s="335"/>
      <c r="FB29" s="335"/>
      <c r="FC29" s="335"/>
      <c r="FD29" s="335"/>
      <c r="FE29" s="335"/>
      <c r="FF29" s="335"/>
      <c r="FG29" s="335"/>
      <c r="FH29" s="335"/>
      <c r="FI29" s="335"/>
      <c r="FJ29" s="335"/>
      <c r="FK29" s="335"/>
      <c r="FL29" s="335"/>
      <c r="FM29" s="335"/>
      <c r="FN29" s="335"/>
      <c r="FO29" s="335"/>
      <c r="FP29" s="335"/>
      <c r="FQ29" s="335"/>
      <c r="FR29" s="335"/>
      <c r="FS29" s="335"/>
      <c r="FT29" s="335"/>
      <c r="FU29" s="335"/>
      <c r="FV29" s="335"/>
      <c r="FW29" s="335"/>
      <c r="FX29" s="335"/>
      <c r="FY29" s="335"/>
      <c r="FZ29" s="335"/>
      <c r="GA29" s="335"/>
      <c r="GB29" s="335"/>
      <c r="GC29" s="335"/>
      <c r="GD29" s="335"/>
      <c r="GE29" s="335"/>
      <c r="GF29" s="335"/>
      <c r="GG29" s="335"/>
      <c r="GH29" s="335"/>
      <c r="GI29" s="335"/>
      <c r="GJ29" s="335"/>
      <c r="GK29" s="335"/>
      <c r="GL29" s="335"/>
      <c r="GM29" s="335"/>
      <c r="GN29" s="335"/>
      <c r="GO29" s="335"/>
      <c r="GP29" s="335"/>
      <c r="GQ29" s="335"/>
      <c r="GR29" s="335"/>
      <c r="GS29" s="335"/>
      <c r="GT29" s="335"/>
      <c r="GU29" s="335"/>
      <c r="GV29" s="335"/>
      <c r="GW29" s="335"/>
      <c r="GX29" s="335"/>
      <c r="GY29" s="335"/>
      <c r="GZ29" s="335"/>
      <c r="HA29" s="335"/>
      <c r="HB29" s="335"/>
      <c r="HC29" s="335"/>
      <c r="HD29" s="335"/>
      <c r="HE29" s="335"/>
      <c r="HF29" s="335"/>
      <c r="HG29" s="335"/>
      <c r="HH29" s="335"/>
      <c r="HI29" s="335"/>
      <c r="HJ29" s="335"/>
      <c r="HK29" s="335"/>
      <c r="HL29" s="335"/>
      <c r="HM29" s="335"/>
      <c r="HN29" s="335"/>
      <c r="HO29" s="335"/>
      <c r="HP29" s="335"/>
      <c r="HQ29" s="335"/>
      <c r="HR29" s="335"/>
      <c r="HS29" s="335"/>
      <c r="HT29" s="335"/>
      <c r="HU29" s="335"/>
      <c r="HV29" s="335"/>
      <c r="HW29" s="335"/>
      <c r="HX29" s="335"/>
      <c r="HY29" s="335"/>
      <c r="HZ29" s="335"/>
      <c r="IA29" s="335"/>
      <c r="IB29" s="335"/>
      <c r="IC29" s="335"/>
      <c r="ID29" s="335"/>
      <c r="IE29" s="335"/>
      <c r="IF29" s="335"/>
      <c r="IG29" s="335"/>
      <c r="IH29" s="335"/>
      <c r="II29" s="335"/>
      <c r="IJ29" s="335"/>
      <c r="IK29" s="335"/>
      <c r="IL29" s="335"/>
      <c r="IM29" s="335"/>
      <c r="IN29" s="335"/>
      <c r="IO29" s="335"/>
      <c r="IP29" s="335"/>
      <c r="IQ29" s="335"/>
      <c r="IR29" s="335"/>
      <c r="IS29" s="335"/>
      <c r="IT29" s="335"/>
      <c r="IU29" s="335"/>
      <c r="IV29" s="335"/>
    </row>
    <row r="30" spans="1:256" s="334" customFormat="1" ht="17.25" customHeight="1" thickBot="1">
      <c r="A30" s="1427" t="s">
        <v>1089</v>
      </c>
      <c r="B30" s="1430" t="s">
        <v>464</v>
      </c>
      <c r="C30" s="325" t="s">
        <v>464</v>
      </c>
      <c r="D30" s="325" t="s">
        <v>464</v>
      </c>
      <c r="E30" s="326" t="s">
        <v>464</v>
      </c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5"/>
      <c r="EB30" s="335"/>
      <c r="EC30" s="335"/>
      <c r="ED30" s="335"/>
      <c r="EE30" s="335"/>
      <c r="EF30" s="335"/>
      <c r="EG30" s="335"/>
      <c r="EH30" s="335"/>
      <c r="EI30" s="335"/>
      <c r="EJ30" s="335"/>
      <c r="EK30" s="335"/>
      <c r="EL30" s="335"/>
      <c r="EM30" s="335"/>
      <c r="EN30" s="335"/>
      <c r="EO30" s="335"/>
      <c r="EP30" s="335"/>
      <c r="EQ30" s="335"/>
      <c r="ER30" s="335"/>
      <c r="ES30" s="335"/>
      <c r="ET30" s="335"/>
      <c r="EU30" s="335"/>
      <c r="EV30" s="335"/>
      <c r="EW30" s="335"/>
      <c r="EX30" s="335"/>
      <c r="EY30" s="335"/>
      <c r="EZ30" s="335"/>
      <c r="FA30" s="335"/>
      <c r="FB30" s="335"/>
      <c r="FC30" s="335"/>
      <c r="FD30" s="335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5"/>
      <c r="FT30" s="335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5"/>
      <c r="GJ30" s="335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5"/>
      <c r="GZ30" s="335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5"/>
      <c r="HQ30" s="335"/>
      <c r="HR30" s="335"/>
      <c r="HS30" s="335"/>
      <c r="HT30" s="335"/>
      <c r="HU30" s="335"/>
      <c r="HV30" s="335"/>
      <c r="HW30" s="335"/>
      <c r="HX30" s="335"/>
      <c r="HY30" s="335"/>
      <c r="HZ30" s="335"/>
      <c r="IA30" s="335"/>
      <c r="IB30" s="335"/>
      <c r="IC30" s="335"/>
      <c r="ID30" s="335"/>
      <c r="IE30" s="335"/>
      <c r="IF30" s="335"/>
      <c r="IG30" s="335"/>
      <c r="IH30" s="335"/>
      <c r="II30" s="335"/>
      <c r="IJ30" s="335"/>
      <c r="IK30" s="335"/>
      <c r="IL30" s="335"/>
      <c r="IM30" s="335"/>
      <c r="IN30" s="335"/>
      <c r="IO30" s="335"/>
      <c r="IP30" s="335"/>
      <c r="IQ30" s="335"/>
      <c r="IR30" s="335"/>
      <c r="IS30" s="335"/>
      <c r="IT30" s="335"/>
      <c r="IU30" s="335"/>
      <c r="IV30" s="335"/>
    </row>
    <row r="31" spans="1:22" s="334" customFormat="1" ht="17.25" customHeight="1">
      <c r="A31" s="1413" t="s">
        <v>1090</v>
      </c>
      <c r="B31" s="1431"/>
      <c r="C31" s="1431"/>
      <c r="D31" s="1431"/>
      <c r="E31" s="1432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</row>
    <row r="32" spans="1:22" s="334" customFormat="1" ht="17.25" customHeight="1">
      <c r="A32" s="316" t="s">
        <v>1091</v>
      </c>
      <c r="B32" s="320" t="s">
        <v>464</v>
      </c>
      <c r="C32" s="320" t="s">
        <v>464</v>
      </c>
      <c r="D32" s="320" t="s">
        <v>464</v>
      </c>
      <c r="E32" s="318" t="s">
        <v>464</v>
      </c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</row>
    <row r="33" spans="1:5" s="334" customFormat="1" ht="17.25" customHeight="1">
      <c r="A33" s="316" t="s">
        <v>1092</v>
      </c>
      <c r="B33" s="320" t="s">
        <v>464</v>
      </c>
      <c r="C33" s="320" t="s">
        <v>464</v>
      </c>
      <c r="D33" s="320" t="s">
        <v>464</v>
      </c>
      <c r="E33" s="2357" t="s">
        <v>464</v>
      </c>
    </row>
    <row r="34" spans="1:5" s="334" customFormat="1" ht="17.25" customHeight="1">
      <c r="A34" s="316" t="s">
        <v>1093</v>
      </c>
      <c r="B34" s="320"/>
      <c r="C34" s="320" t="s">
        <v>464</v>
      </c>
      <c r="D34" s="320" t="s">
        <v>464</v>
      </c>
      <c r="E34" s="2357" t="s">
        <v>464</v>
      </c>
    </row>
    <row r="35" spans="1:5" s="334" customFormat="1" ht="17.25" customHeight="1">
      <c r="A35" s="316" t="s">
        <v>1094</v>
      </c>
      <c r="B35" s="320" t="s">
        <v>464</v>
      </c>
      <c r="C35" s="320" t="s">
        <v>464</v>
      </c>
      <c r="D35" s="320" t="s">
        <v>464</v>
      </c>
      <c r="E35" s="2357" t="s">
        <v>464</v>
      </c>
    </row>
    <row r="36" spans="1:5" s="334" customFormat="1" ht="17.25" customHeight="1">
      <c r="A36" s="323" t="s">
        <v>1617</v>
      </c>
      <c r="B36" s="320" t="s">
        <v>464</v>
      </c>
      <c r="C36" s="320" t="s">
        <v>464</v>
      </c>
      <c r="D36" s="320" t="s">
        <v>464</v>
      </c>
      <c r="E36" s="2357" t="s">
        <v>464</v>
      </c>
    </row>
    <row r="37" spans="1:5" s="334" customFormat="1" ht="17.25" customHeight="1">
      <c r="A37" s="323" t="s">
        <v>1618</v>
      </c>
      <c r="B37" s="320">
        <v>100</v>
      </c>
      <c r="C37" s="320" t="s">
        <v>464</v>
      </c>
      <c r="D37" s="320" t="s">
        <v>464</v>
      </c>
      <c r="E37" s="2357">
        <f>SUM(B37:D37)</f>
        <v>100</v>
      </c>
    </row>
    <row r="38" spans="1:5" s="334" customFormat="1" ht="17.25" customHeight="1">
      <c r="A38" s="316" t="s">
        <v>1095</v>
      </c>
      <c r="B38" s="320">
        <v>4000</v>
      </c>
      <c r="C38" s="320" t="s">
        <v>464</v>
      </c>
      <c r="D38" s="320" t="s">
        <v>464</v>
      </c>
      <c r="E38" s="318">
        <f>SUM(B38:D38)</f>
        <v>4000</v>
      </c>
    </row>
    <row r="39" spans="1:5" s="334" customFormat="1" ht="17.25" customHeight="1">
      <c r="A39" s="316" t="s">
        <v>1096</v>
      </c>
      <c r="B39" s="320" t="s">
        <v>464</v>
      </c>
      <c r="C39" s="320">
        <v>107420</v>
      </c>
      <c r="D39" s="320" t="s">
        <v>464</v>
      </c>
      <c r="E39" s="318">
        <f>SUM(B39:D39)</f>
        <v>107420</v>
      </c>
    </row>
    <row r="40" spans="1:5" s="334" customFormat="1" ht="17.25" customHeight="1">
      <c r="A40" s="316" t="s">
        <v>1097</v>
      </c>
      <c r="B40" s="320" t="s">
        <v>464</v>
      </c>
      <c r="C40" s="320" t="s">
        <v>464</v>
      </c>
      <c r="D40" s="320" t="s">
        <v>464</v>
      </c>
      <c r="E40" s="1433" t="s">
        <v>464</v>
      </c>
    </row>
    <row r="41" spans="1:5" s="334" customFormat="1" ht="17.25" customHeight="1" thickBot="1">
      <c r="A41" s="1427" t="s">
        <v>1619</v>
      </c>
      <c r="B41" s="1435" t="s">
        <v>464</v>
      </c>
      <c r="C41" s="320" t="s">
        <v>464</v>
      </c>
      <c r="D41" s="320" t="s">
        <v>464</v>
      </c>
      <c r="E41" s="1691" t="s">
        <v>464</v>
      </c>
    </row>
    <row r="42" spans="1:5" s="334" customFormat="1" ht="17.25" customHeight="1">
      <c r="A42" s="1413" t="s">
        <v>1098</v>
      </c>
      <c r="B42" s="1431"/>
      <c r="C42" s="1431"/>
      <c r="D42" s="1431"/>
      <c r="E42" s="1432"/>
    </row>
    <row r="43" spans="1:5" s="334" customFormat="1" ht="17.25" customHeight="1">
      <c r="A43" s="316" t="s">
        <v>1099</v>
      </c>
      <c r="B43" s="320">
        <v>50</v>
      </c>
      <c r="C43" s="320" t="s">
        <v>464</v>
      </c>
      <c r="D43" s="320" t="s">
        <v>464</v>
      </c>
      <c r="E43" s="318">
        <f>SUM(B43:D43)</f>
        <v>50</v>
      </c>
    </row>
    <row r="44" spans="1:5" s="334" customFormat="1" ht="17.25" customHeight="1">
      <c r="A44" s="316" t="s">
        <v>1100</v>
      </c>
      <c r="B44" s="320" t="s">
        <v>464</v>
      </c>
      <c r="C44" s="320" t="s">
        <v>464</v>
      </c>
      <c r="D44" s="320" t="s">
        <v>464</v>
      </c>
      <c r="E44" s="318" t="s">
        <v>464</v>
      </c>
    </row>
    <row r="45" spans="1:5" s="334" customFormat="1" ht="17.25" customHeight="1" thickBot="1">
      <c r="A45" s="324" t="s">
        <v>1101</v>
      </c>
      <c r="B45" s="320" t="s">
        <v>464</v>
      </c>
      <c r="C45" s="320" t="s">
        <v>464</v>
      </c>
      <c r="D45" s="320" t="s">
        <v>464</v>
      </c>
      <c r="E45" s="1434" t="s">
        <v>464</v>
      </c>
    </row>
    <row r="46" spans="1:22" ht="17.25" customHeight="1">
      <c r="A46" s="1413" t="s">
        <v>1102</v>
      </c>
      <c r="B46" s="1431"/>
      <c r="C46" s="1431"/>
      <c r="D46" s="1431"/>
      <c r="E46" s="1432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</row>
    <row r="47" spans="1:22" ht="17.25" customHeight="1">
      <c r="A47" s="316" t="s">
        <v>1103</v>
      </c>
      <c r="B47" s="320" t="s">
        <v>464</v>
      </c>
      <c r="C47" s="320" t="s">
        <v>464</v>
      </c>
      <c r="D47" s="320" t="s">
        <v>464</v>
      </c>
      <c r="E47" s="318" t="s">
        <v>464</v>
      </c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</row>
    <row r="48" spans="1:22" ht="17.25" customHeight="1">
      <c r="A48" s="316" t="s">
        <v>1104</v>
      </c>
      <c r="B48" s="320" t="s">
        <v>464</v>
      </c>
      <c r="C48" s="320" t="s">
        <v>464</v>
      </c>
      <c r="D48" s="320" t="s">
        <v>464</v>
      </c>
      <c r="E48" s="1429" t="s">
        <v>464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</row>
    <row r="49" spans="1:22" ht="17.25" customHeight="1">
      <c r="A49" s="316" t="s">
        <v>1105</v>
      </c>
      <c r="B49" s="320" t="s">
        <v>464</v>
      </c>
      <c r="C49" s="320" t="s">
        <v>464</v>
      </c>
      <c r="D49" s="320" t="s">
        <v>464</v>
      </c>
      <c r="E49" s="1429" t="s">
        <v>464</v>
      </c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</row>
    <row r="50" spans="1:22" ht="17.25" customHeight="1">
      <c r="A50" s="316" t="s">
        <v>1106</v>
      </c>
      <c r="B50" s="320" t="s">
        <v>464</v>
      </c>
      <c r="C50" s="320" t="s">
        <v>464</v>
      </c>
      <c r="D50" s="320" t="s">
        <v>464</v>
      </c>
      <c r="E50" s="318" t="s">
        <v>464</v>
      </c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</row>
    <row r="51" spans="1:22" ht="17.25" customHeight="1" thickBot="1">
      <c r="A51" s="324" t="s">
        <v>1107</v>
      </c>
      <c r="B51" s="1435" t="s">
        <v>464</v>
      </c>
      <c r="C51" s="1435" t="s">
        <v>464</v>
      </c>
      <c r="D51" s="1435" t="s">
        <v>464</v>
      </c>
      <c r="E51" s="1691" t="s">
        <v>464</v>
      </c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</row>
  </sheetData>
  <sheetProtection/>
  <printOptions/>
  <pageMargins left="1" right="1" top="1" bottom="1" header="0.5" footer="0.5"/>
  <pageSetup horizontalDpi="300" verticalDpi="300" orientation="portrait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V32"/>
  <sheetViews>
    <sheetView zoomScale="80" zoomScaleNormal="80" zoomScalePageLayoutView="0" workbookViewId="0" topLeftCell="A4">
      <selection activeCell="I13" sqref="I13"/>
    </sheetView>
  </sheetViews>
  <sheetFormatPr defaultColWidth="9.7109375" defaultRowHeight="12.75"/>
  <cols>
    <col min="1" max="1" width="35.8515625" style="155" customWidth="1"/>
    <col min="2" max="2" width="16.57421875" style="163" customWidth="1"/>
    <col min="3" max="3" width="20.00390625" style="163" customWidth="1"/>
    <col min="4" max="4" width="15.7109375" style="163" customWidth="1"/>
    <col min="5" max="5" width="17.57421875" style="327" customWidth="1"/>
    <col min="6" max="22" width="6.7109375" style="155" customWidth="1"/>
    <col min="23" max="16384" width="9.7109375" style="155" customWidth="1"/>
  </cols>
  <sheetData>
    <row r="1" spans="1:22" ht="22.5" customHeight="1">
      <c r="A1" s="190" t="s">
        <v>422</v>
      </c>
      <c r="B1" s="160"/>
      <c r="C1" s="160"/>
      <c r="D1" s="160"/>
      <c r="E1" s="214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 ht="22.5" customHeight="1" thickBot="1">
      <c r="A2" s="304"/>
      <c r="B2" s="160"/>
      <c r="C2" s="160"/>
      <c r="D2" s="160"/>
      <c r="E2" s="214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1:22" ht="22.5" customHeight="1">
      <c r="A3" s="213" t="s">
        <v>1057</v>
      </c>
      <c r="B3" s="212" t="s">
        <v>585</v>
      </c>
      <c r="C3" s="212" t="s">
        <v>1058</v>
      </c>
      <c r="D3" s="212" t="s">
        <v>686</v>
      </c>
      <c r="E3" s="212" t="s">
        <v>472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</row>
    <row r="4" spans="1:256" ht="22.5" customHeight="1" thickBot="1">
      <c r="A4" s="406" t="s">
        <v>1061</v>
      </c>
      <c r="B4" s="349" t="s">
        <v>1062</v>
      </c>
      <c r="C4" s="349" t="s">
        <v>1070</v>
      </c>
      <c r="D4" s="349" t="s">
        <v>1071</v>
      </c>
      <c r="E4" s="350" t="s">
        <v>480</v>
      </c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  <c r="CC4" s="308"/>
      <c r="CD4" s="308"/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8"/>
      <c r="CR4" s="308"/>
      <c r="CS4" s="308"/>
      <c r="CT4" s="308"/>
      <c r="CU4" s="308"/>
      <c r="CV4" s="308"/>
      <c r="CW4" s="308"/>
      <c r="CX4" s="308"/>
      <c r="CY4" s="308"/>
      <c r="CZ4" s="308"/>
      <c r="DA4" s="308"/>
      <c r="DB4" s="308"/>
      <c r="DC4" s="308"/>
      <c r="DD4" s="308"/>
      <c r="DE4" s="308"/>
      <c r="DF4" s="308"/>
      <c r="DG4" s="308"/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  <c r="EI4" s="308"/>
      <c r="EJ4" s="308"/>
      <c r="EK4" s="308"/>
      <c r="EL4" s="308"/>
      <c r="EM4" s="308"/>
      <c r="EN4" s="308"/>
      <c r="EO4" s="308"/>
      <c r="EP4" s="308"/>
      <c r="EQ4" s="308"/>
      <c r="ER4" s="308"/>
      <c r="ES4" s="308"/>
      <c r="ET4" s="308"/>
      <c r="EU4" s="308"/>
      <c r="EV4" s="308"/>
      <c r="EW4" s="308"/>
      <c r="EX4" s="308"/>
      <c r="EY4" s="308"/>
      <c r="EZ4" s="308"/>
      <c r="FA4" s="308"/>
      <c r="FB4" s="308"/>
      <c r="FC4" s="308"/>
      <c r="FD4" s="308"/>
      <c r="FE4" s="308"/>
      <c r="FF4" s="308"/>
      <c r="FG4" s="308"/>
      <c r="FH4" s="308"/>
      <c r="FI4" s="308"/>
      <c r="FJ4" s="308"/>
      <c r="FK4" s="308"/>
      <c r="FL4" s="308"/>
      <c r="FM4" s="308"/>
      <c r="FN4" s="308"/>
      <c r="FO4" s="308"/>
      <c r="FP4" s="308"/>
      <c r="FQ4" s="308"/>
      <c r="FR4" s="308"/>
      <c r="FS4" s="308"/>
      <c r="FT4" s="308"/>
      <c r="FU4" s="308"/>
      <c r="FV4" s="308"/>
      <c r="FW4" s="308"/>
      <c r="FX4" s="308"/>
      <c r="FY4" s="308"/>
      <c r="FZ4" s="308"/>
      <c r="GA4" s="308"/>
      <c r="GB4" s="308"/>
      <c r="GC4" s="308"/>
      <c r="GD4" s="308"/>
      <c r="GE4" s="308"/>
      <c r="GF4" s="308"/>
      <c r="GG4" s="308"/>
      <c r="GH4" s="308"/>
      <c r="GI4" s="308"/>
      <c r="GJ4" s="308"/>
      <c r="GK4" s="308"/>
      <c r="GL4" s="308"/>
      <c r="GM4" s="308"/>
      <c r="GN4" s="308"/>
      <c r="GO4" s="308"/>
      <c r="GP4" s="308"/>
      <c r="GQ4" s="308"/>
      <c r="GR4" s="308"/>
      <c r="GS4" s="308"/>
      <c r="GT4" s="308"/>
      <c r="GU4" s="308"/>
      <c r="GV4" s="308"/>
      <c r="GW4" s="308"/>
      <c r="GX4" s="308"/>
      <c r="GY4" s="308"/>
      <c r="GZ4" s="308"/>
      <c r="HA4" s="308"/>
      <c r="HB4" s="308"/>
      <c r="HC4" s="308"/>
      <c r="HD4" s="308"/>
      <c r="HE4" s="308"/>
      <c r="HF4" s="308"/>
      <c r="HG4" s="308"/>
      <c r="HH4" s="308"/>
      <c r="HI4" s="308"/>
      <c r="HJ4" s="308"/>
      <c r="HK4" s="308"/>
      <c r="HL4" s="308"/>
      <c r="HM4" s="308"/>
      <c r="HN4" s="308"/>
      <c r="HO4" s="308"/>
      <c r="HP4" s="308"/>
      <c r="HQ4" s="308"/>
      <c r="HR4" s="308"/>
      <c r="HS4" s="308"/>
      <c r="HT4" s="308"/>
      <c r="HU4" s="308"/>
      <c r="HV4" s="308"/>
      <c r="HW4" s="308"/>
      <c r="HX4" s="308"/>
      <c r="HY4" s="308"/>
      <c r="HZ4" s="308"/>
      <c r="IA4" s="308"/>
      <c r="IB4" s="308"/>
      <c r="IC4" s="308"/>
      <c r="ID4" s="308"/>
      <c r="IE4" s="308"/>
      <c r="IF4" s="308"/>
      <c r="IG4" s="308"/>
      <c r="IH4" s="308"/>
      <c r="II4" s="308"/>
      <c r="IJ4" s="308"/>
      <c r="IK4" s="308"/>
      <c r="IL4" s="308"/>
      <c r="IM4" s="308"/>
      <c r="IN4" s="308"/>
      <c r="IO4" s="308"/>
      <c r="IP4" s="308"/>
      <c r="IQ4" s="308"/>
      <c r="IR4" s="308"/>
      <c r="IS4" s="308"/>
      <c r="IT4" s="308"/>
      <c r="IU4" s="308"/>
      <c r="IV4" s="308"/>
    </row>
    <row r="5" spans="1:5" ht="22.5" customHeight="1">
      <c r="A5" s="309" t="s">
        <v>1108</v>
      </c>
      <c r="B5" s="356"/>
      <c r="C5" s="356"/>
      <c r="D5" s="356"/>
      <c r="E5" s="377"/>
    </row>
    <row r="6" spans="1:5" ht="22.5" customHeight="1">
      <c r="A6" s="738" t="s">
        <v>1109</v>
      </c>
      <c r="B6" s="169"/>
      <c r="C6" s="169"/>
      <c r="D6" s="169"/>
      <c r="E6" s="379"/>
    </row>
    <row r="7" spans="1:256" ht="22.5" customHeight="1">
      <c r="A7" s="1436" t="s">
        <v>1110</v>
      </c>
      <c r="B7" s="176" t="s">
        <v>464</v>
      </c>
      <c r="C7" s="176" t="s">
        <v>464</v>
      </c>
      <c r="D7" s="176" t="s">
        <v>464</v>
      </c>
      <c r="E7" s="381" t="s">
        <v>464</v>
      </c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DT7" s="315"/>
      <c r="DU7" s="315"/>
      <c r="DV7" s="315"/>
      <c r="DW7" s="315"/>
      <c r="DX7" s="315"/>
      <c r="DY7" s="315"/>
      <c r="DZ7" s="315"/>
      <c r="EA7" s="315"/>
      <c r="EB7" s="315"/>
      <c r="EC7" s="315"/>
      <c r="ED7" s="315"/>
      <c r="EE7" s="315"/>
      <c r="EF7" s="315"/>
      <c r="EG7" s="315"/>
      <c r="EH7" s="315"/>
      <c r="EI7" s="315"/>
      <c r="EJ7" s="315"/>
      <c r="EK7" s="315"/>
      <c r="EL7" s="315"/>
      <c r="EM7" s="315"/>
      <c r="EN7" s="315"/>
      <c r="EO7" s="315"/>
      <c r="EP7" s="315"/>
      <c r="EQ7" s="315"/>
      <c r="ER7" s="315"/>
      <c r="ES7" s="315"/>
      <c r="ET7" s="315"/>
      <c r="EU7" s="315"/>
      <c r="EV7" s="315"/>
      <c r="EW7" s="315"/>
      <c r="EX7" s="315"/>
      <c r="EY7" s="315"/>
      <c r="EZ7" s="315"/>
      <c r="FA7" s="315"/>
      <c r="FB7" s="315"/>
      <c r="FC7" s="315"/>
      <c r="FD7" s="315"/>
      <c r="FE7" s="315"/>
      <c r="FF7" s="315"/>
      <c r="FG7" s="315"/>
      <c r="FH7" s="315"/>
      <c r="FI7" s="315"/>
      <c r="FJ7" s="315"/>
      <c r="FK7" s="315"/>
      <c r="FL7" s="315"/>
      <c r="FM7" s="315"/>
      <c r="FN7" s="315"/>
      <c r="FO7" s="315"/>
      <c r="FP7" s="315"/>
      <c r="FQ7" s="315"/>
      <c r="FR7" s="315"/>
      <c r="FS7" s="315"/>
      <c r="FT7" s="315"/>
      <c r="FU7" s="315"/>
      <c r="FV7" s="315"/>
      <c r="FW7" s="315"/>
      <c r="FX7" s="315"/>
      <c r="FY7" s="315"/>
      <c r="FZ7" s="315"/>
      <c r="GA7" s="315"/>
      <c r="GB7" s="315"/>
      <c r="GC7" s="315"/>
      <c r="GD7" s="315"/>
      <c r="GE7" s="315"/>
      <c r="GF7" s="315"/>
      <c r="GG7" s="315"/>
      <c r="GH7" s="315"/>
      <c r="GI7" s="315"/>
      <c r="GJ7" s="315"/>
      <c r="GK7" s="315"/>
      <c r="GL7" s="315"/>
      <c r="GM7" s="315"/>
      <c r="GN7" s="315"/>
      <c r="GO7" s="315"/>
      <c r="GP7" s="315"/>
      <c r="GQ7" s="315"/>
      <c r="GR7" s="315"/>
      <c r="GS7" s="315"/>
      <c r="GT7" s="315"/>
      <c r="GU7" s="315"/>
      <c r="GV7" s="315"/>
      <c r="GW7" s="315"/>
      <c r="GX7" s="315"/>
      <c r="GY7" s="315"/>
      <c r="GZ7" s="315"/>
      <c r="HA7" s="315"/>
      <c r="HB7" s="315"/>
      <c r="HC7" s="315"/>
      <c r="HD7" s="315"/>
      <c r="HE7" s="315"/>
      <c r="HF7" s="315"/>
      <c r="HG7" s="315"/>
      <c r="HH7" s="315"/>
      <c r="HI7" s="315"/>
      <c r="HJ7" s="315"/>
      <c r="HK7" s="315"/>
      <c r="HL7" s="315"/>
      <c r="HM7" s="315"/>
      <c r="HN7" s="315"/>
      <c r="HO7" s="315"/>
      <c r="HP7" s="315"/>
      <c r="HQ7" s="315"/>
      <c r="HR7" s="315"/>
      <c r="HS7" s="315"/>
      <c r="HT7" s="315"/>
      <c r="HU7" s="315"/>
      <c r="HV7" s="315"/>
      <c r="HW7" s="315"/>
      <c r="HX7" s="315"/>
      <c r="HY7" s="315"/>
      <c r="HZ7" s="315"/>
      <c r="IA7" s="315"/>
      <c r="IB7" s="315"/>
      <c r="IC7" s="315"/>
      <c r="ID7" s="315"/>
      <c r="IE7" s="315"/>
      <c r="IF7" s="315"/>
      <c r="IG7" s="315"/>
      <c r="IH7" s="315"/>
      <c r="II7" s="315"/>
      <c r="IJ7" s="315"/>
      <c r="IK7" s="315"/>
      <c r="IL7" s="315"/>
      <c r="IM7" s="315"/>
      <c r="IN7" s="315"/>
      <c r="IO7" s="315"/>
      <c r="IP7" s="315"/>
      <c r="IQ7" s="315"/>
      <c r="IR7" s="315"/>
      <c r="IS7" s="315"/>
      <c r="IT7" s="315"/>
      <c r="IU7" s="315"/>
      <c r="IV7" s="315"/>
    </row>
    <row r="8" spans="1:5" ht="22.5" customHeight="1">
      <c r="A8" s="738" t="s">
        <v>1531</v>
      </c>
      <c r="B8" s="169"/>
      <c r="C8" s="169"/>
      <c r="D8" s="169"/>
      <c r="E8" s="379"/>
    </row>
    <row r="9" spans="1:5" ht="22.5" customHeight="1">
      <c r="A9" s="1437" t="s">
        <v>1111</v>
      </c>
      <c r="B9" s="176" t="s">
        <v>464</v>
      </c>
      <c r="C9" s="176">
        <v>666840</v>
      </c>
      <c r="D9" s="176" t="s">
        <v>464</v>
      </c>
      <c r="E9" s="1692">
        <f>SUM(B9:D9)</f>
        <v>666840</v>
      </c>
    </row>
    <row r="10" spans="1:256" ht="22.5" customHeight="1">
      <c r="A10" s="738" t="s">
        <v>1112</v>
      </c>
      <c r="B10" s="174"/>
      <c r="C10" s="174"/>
      <c r="D10" s="174"/>
      <c r="E10" s="1441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5"/>
      <c r="DV10" s="315"/>
      <c r="DW10" s="315"/>
      <c r="DX10" s="315"/>
      <c r="DY10" s="315"/>
      <c r="DZ10" s="315"/>
      <c r="EA10" s="315"/>
      <c r="EB10" s="315"/>
      <c r="EC10" s="315"/>
      <c r="ED10" s="315"/>
      <c r="EE10" s="315"/>
      <c r="EF10" s="315"/>
      <c r="EG10" s="315"/>
      <c r="EH10" s="315"/>
      <c r="EI10" s="315"/>
      <c r="EJ10" s="315"/>
      <c r="EK10" s="315"/>
      <c r="EL10" s="315"/>
      <c r="EM10" s="315"/>
      <c r="EN10" s="315"/>
      <c r="EO10" s="315"/>
      <c r="EP10" s="315"/>
      <c r="EQ10" s="315"/>
      <c r="ER10" s="315"/>
      <c r="ES10" s="315"/>
      <c r="ET10" s="315"/>
      <c r="EU10" s="315"/>
      <c r="EV10" s="315"/>
      <c r="EW10" s="315"/>
      <c r="EX10" s="315"/>
      <c r="EY10" s="315"/>
      <c r="EZ10" s="315"/>
      <c r="FA10" s="315"/>
      <c r="FB10" s="315"/>
      <c r="FC10" s="315"/>
      <c r="FD10" s="315"/>
      <c r="FE10" s="315"/>
      <c r="FF10" s="315"/>
      <c r="FG10" s="315"/>
      <c r="FH10" s="315"/>
      <c r="FI10" s="315"/>
      <c r="FJ10" s="315"/>
      <c r="FK10" s="315"/>
      <c r="FL10" s="315"/>
      <c r="FM10" s="315"/>
      <c r="FN10" s="315"/>
      <c r="FO10" s="315"/>
      <c r="FP10" s="315"/>
      <c r="FQ10" s="315"/>
      <c r="FR10" s="315"/>
      <c r="FS10" s="315"/>
      <c r="FT10" s="315"/>
      <c r="FU10" s="315"/>
      <c r="FV10" s="315"/>
      <c r="FW10" s="315"/>
      <c r="FX10" s="315"/>
      <c r="FY10" s="315"/>
      <c r="FZ10" s="315"/>
      <c r="GA10" s="315"/>
      <c r="GB10" s="315"/>
      <c r="GC10" s="315"/>
      <c r="GD10" s="315"/>
      <c r="GE10" s="315"/>
      <c r="GF10" s="315"/>
      <c r="GG10" s="315"/>
      <c r="GH10" s="315"/>
      <c r="GI10" s="315"/>
      <c r="GJ10" s="315"/>
      <c r="GK10" s="315"/>
      <c r="GL10" s="315"/>
      <c r="GM10" s="315"/>
      <c r="GN10" s="315"/>
      <c r="GO10" s="315"/>
      <c r="GP10" s="315"/>
      <c r="GQ10" s="315"/>
      <c r="GR10" s="315"/>
      <c r="GS10" s="315"/>
      <c r="GT10" s="315"/>
      <c r="GU10" s="315"/>
      <c r="GV10" s="315"/>
      <c r="GW10" s="315"/>
      <c r="GX10" s="315"/>
      <c r="GY10" s="315"/>
      <c r="GZ10" s="315"/>
      <c r="HA10" s="315"/>
      <c r="HB10" s="315"/>
      <c r="HC10" s="315"/>
      <c r="HD10" s="315"/>
      <c r="HE10" s="315"/>
      <c r="HF10" s="315"/>
      <c r="HG10" s="315"/>
      <c r="HH10" s="315"/>
      <c r="HI10" s="315"/>
      <c r="HJ10" s="315"/>
      <c r="HK10" s="315"/>
      <c r="HL10" s="315"/>
      <c r="HM10" s="315"/>
      <c r="HN10" s="315"/>
      <c r="HO10" s="315"/>
      <c r="HP10" s="315"/>
      <c r="HQ10" s="315"/>
      <c r="HR10" s="315"/>
      <c r="HS10" s="315"/>
      <c r="HT10" s="315"/>
      <c r="HU10" s="315"/>
      <c r="HV10" s="315"/>
      <c r="HW10" s="315"/>
      <c r="HX10" s="315"/>
      <c r="HY10" s="315"/>
      <c r="HZ10" s="315"/>
      <c r="IA10" s="315"/>
      <c r="IB10" s="315"/>
      <c r="IC10" s="315"/>
      <c r="ID10" s="315"/>
      <c r="IE10" s="315"/>
      <c r="IF10" s="315"/>
      <c r="IG10" s="315"/>
      <c r="IH10" s="315"/>
      <c r="II10" s="315"/>
      <c r="IJ10" s="315"/>
      <c r="IK10" s="315"/>
      <c r="IL10" s="315"/>
      <c r="IM10" s="315"/>
      <c r="IN10" s="315"/>
      <c r="IO10" s="315"/>
      <c r="IP10" s="315"/>
      <c r="IQ10" s="315"/>
      <c r="IR10" s="315"/>
      <c r="IS10" s="315"/>
      <c r="IT10" s="315"/>
      <c r="IU10" s="315"/>
      <c r="IV10" s="315"/>
    </row>
    <row r="11" spans="1:5" ht="22.5" customHeight="1">
      <c r="A11" s="1437" t="s">
        <v>1113</v>
      </c>
      <c r="B11" s="1442"/>
      <c r="C11" s="1443">
        <v>575000</v>
      </c>
      <c r="D11" s="1442"/>
      <c r="E11" s="1444">
        <f>SUM(B11:D11)</f>
        <v>575000</v>
      </c>
    </row>
    <row r="12" spans="1:5" ht="22.5" customHeight="1">
      <c r="A12" s="1445" t="s">
        <v>429</v>
      </c>
      <c r="B12" s="176" t="s">
        <v>464</v>
      </c>
      <c r="C12" s="176" t="s">
        <v>464</v>
      </c>
      <c r="D12" s="176" t="s">
        <v>464</v>
      </c>
      <c r="E12" s="1446" t="s">
        <v>464</v>
      </c>
    </row>
    <row r="13" spans="1:256" ht="22.5" customHeight="1">
      <c r="A13" s="738" t="s">
        <v>1114</v>
      </c>
      <c r="B13" s="169"/>
      <c r="C13" s="169"/>
      <c r="D13" s="169"/>
      <c r="E13" s="379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  <c r="FH13" s="315"/>
      <c r="FI13" s="315"/>
      <c r="FJ13" s="315"/>
      <c r="FK13" s="315"/>
      <c r="FL13" s="315"/>
      <c r="FM13" s="315"/>
      <c r="FN13" s="315"/>
      <c r="FO13" s="315"/>
      <c r="FP13" s="315"/>
      <c r="FQ13" s="315"/>
      <c r="FR13" s="315"/>
      <c r="FS13" s="315"/>
      <c r="FT13" s="315"/>
      <c r="FU13" s="315"/>
      <c r="FV13" s="315"/>
      <c r="FW13" s="315"/>
      <c r="FX13" s="315"/>
      <c r="FY13" s="315"/>
      <c r="FZ13" s="315"/>
      <c r="GA13" s="315"/>
      <c r="GB13" s="315"/>
      <c r="GC13" s="315"/>
      <c r="GD13" s="315"/>
      <c r="GE13" s="315"/>
      <c r="GF13" s="315"/>
      <c r="GG13" s="315"/>
      <c r="GH13" s="315"/>
      <c r="GI13" s="315"/>
      <c r="GJ13" s="315"/>
      <c r="GK13" s="315"/>
      <c r="GL13" s="315"/>
      <c r="GM13" s="315"/>
      <c r="GN13" s="315"/>
      <c r="GO13" s="315"/>
      <c r="GP13" s="315"/>
      <c r="GQ13" s="315"/>
      <c r="GR13" s="315"/>
      <c r="GS13" s="315"/>
      <c r="GT13" s="315"/>
      <c r="GU13" s="315"/>
      <c r="GV13" s="315"/>
      <c r="GW13" s="315"/>
      <c r="GX13" s="315"/>
      <c r="GY13" s="315"/>
      <c r="GZ13" s="315"/>
      <c r="HA13" s="315"/>
      <c r="HB13" s="315"/>
      <c r="HC13" s="315"/>
      <c r="HD13" s="315"/>
      <c r="HE13" s="315"/>
      <c r="HF13" s="315"/>
      <c r="HG13" s="315"/>
      <c r="HH13" s="315"/>
      <c r="HI13" s="315"/>
      <c r="HJ13" s="315"/>
      <c r="HK13" s="315"/>
      <c r="HL13" s="315"/>
      <c r="HM13" s="315"/>
      <c r="HN13" s="315"/>
      <c r="HO13" s="315"/>
      <c r="HP13" s="315"/>
      <c r="HQ13" s="315"/>
      <c r="HR13" s="315"/>
      <c r="HS13" s="315"/>
      <c r="HT13" s="315"/>
      <c r="HU13" s="315"/>
      <c r="HV13" s="315"/>
      <c r="HW13" s="315"/>
      <c r="HX13" s="315"/>
      <c r="HY13" s="315"/>
      <c r="HZ13" s="315"/>
      <c r="IA13" s="315"/>
      <c r="IB13" s="315"/>
      <c r="IC13" s="315"/>
      <c r="ID13" s="315"/>
      <c r="IE13" s="315"/>
      <c r="IF13" s="315"/>
      <c r="IG13" s="315"/>
      <c r="IH13" s="315"/>
      <c r="II13" s="315"/>
      <c r="IJ13" s="315"/>
      <c r="IK13" s="315"/>
      <c r="IL13" s="315"/>
      <c r="IM13" s="315"/>
      <c r="IN13" s="315"/>
      <c r="IO13" s="315"/>
      <c r="IP13" s="315"/>
      <c r="IQ13" s="315"/>
      <c r="IR13" s="315"/>
      <c r="IS13" s="315"/>
      <c r="IT13" s="315"/>
      <c r="IU13" s="315"/>
      <c r="IV13" s="315"/>
    </row>
    <row r="14" spans="1:5" ht="22.5" customHeight="1">
      <c r="A14" s="1437" t="s">
        <v>1115</v>
      </c>
      <c r="B14" s="176" t="s">
        <v>464</v>
      </c>
      <c r="C14" s="145">
        <v>50000</v>
      </c>
      <c r="D14" s="146" t="s">
        <v>464</v>
      </c>
      <c r="E14" s="1439">
        <f>SUM(B14:D14)</f>
        <v>50000</v>
      </c>
    </row>
    <row r="15" spans="1:256" ht="22.5" customHeight="1">
      <c r="A15" s="738" t="s">
        <v>1205</v>
      </c>
      <c r="B15" s="169"/>
      <c r="C15" s="169"/>
      <c r="D15" s="169"/>
      <c r="E15" s="379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  <c r="DE15" s="315"/>
      <c r="DF15" s="315"/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5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5"/>
      <c r="EF15" s="315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5"/>
      <c r="ES15" s="315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5"/>
      <c r="FF15" s="315"/>
      <c r="FG15" s="315"/>
      <c r="FH15" s="315"/>
      <c r="FI15" s="315"/>
      <c r="FJ15" s="315"/>
      <c r="FK15" s="315"/>
      <c r="FL15" s="315"/>
      <c r="FM15" s="315"/>
      <c r="FN15" s="315"/>
      <c r="FO15" s="315"/>
      <c r="FP15" s="315"/>
      <c r="FQ15" s="315"/>
      <c r="FR15" s="315"/>
      <c r="FS15" s="315"/>
      <c r="FT15" s="315"/>
      <c r="FU15" s="315"/>
      <c r="FV15" s="315"/>
      <c r="FW15" s="315"/>
      <c r="FX15" s="315"/>
      <c r="FY15" s="315"/>
      <c r="FZ15" s="315"/>
      <c r="GA15" s="315"/>
      <c r="GB15" s="315"/>
      <c r="GC15" s="315"/>
      <c r="GD15" s="315"/>
      <c r="GE15" s="315"/>
      <c r="GF15" s="315"/>
      <c r="GG15" s="315"/>
      <c r="GH15" s="315"/>
      <c r="GI15" s="315"/>
      <c r="GJ15" s="315"/>
      <c r="GK15" s="315"/>
      <c r="GL15" s="315"/>
      <c r="GM15" s="315"/>
      <c r="GN15" s="315"/>
      <c r="GO15" s="315"/>
      <c r="GP15" s="315"/>
      <c r="GQ15" s="315"/>
      <c r="GR15" s="315"/>
      <c r="GS15" s="315"/>
      <c r="GT15" s="315"/>
      <c r="GU15" s="315"/>
      <c r="GV15" s="315"/>
      <c r="GW15" s="315"/>
      <c r="GX15" s="315"/>
      <c r="GY15" s="315"/>
      <c r="GZ15" s="315"/>
      <c r="HA15" s="315"/>
      <c r="HB15" s="315"/>
      <c r="HC15" s="315"/>
      <c r="HD15" s="315"/>
      <c r="HE15" s="315"/>
      <c r="HF15" s="315"/>
      <c r="HG15" s="315"/>
      <c r="HH15" s="315"/>
      <c r="HI15" s="315"/>
      <c r="HJ15" s="315"/>
      <c r="HK15" s="315"/>
      <c r="HL15" s="315"/>
      <c r="HM15" s="315"/>
      <c r="HN15" s="315"/>
      <c r="HO15" s="315"/>
      <c r="HP15" s="315"/>
      <c r="HQ15" s="315"/>
      <c r="HR15" s="315"/>
      <c r="HS15" s="315"/>
      <c r="HT15" s="315"/>
      <c r="HU15" s="315"/>
      <c r="HV15" s="315"/>
      <c r="HW15" s="315"/>
      <c r="HX15" s="315"/>
      <c r="HY15" s="315"/>
      <c r="HZ15" s="315"/>
      <c r="IA15" s="315"/>
      <c r="IB15" s="315"/>
      <c r="IC15" s="315"/>
      <c r="ID15" s="315"/>
      <c r="IE15" s="315"/>
      <c r="IF15" s="315"/>
      <c r="IG15" s="315"/>
      <c r="IH15" s="315"/>
      <c r="II15" s="315"/>
      <c r="IJ15" s="315"/>
      <c r="IK15" s="315"/>
      <c r="IL15" s="315"/>
      <c r="IM15" s="315"/>
      <c r="IN15" s="315"/>
      <c r="IO15" s="315"/>
      <c r="IP15" s="315"/>
      <c r="IQ15" s="315"/>
      <c r="IR15" s="315"/>
      <c r="IS15" s="315"/>
      <c r="IT15" s="315"/>
      <c r="IU15" s="315"/>
      <c r="IV15" s="315"/>
    </row>
    <row r="16" spans="1:5" ht="22.5" customHeight="1">
      <c r="A16" s="1437" t="s">
        <v>735</v>
      </c>
      <c r="B16" s="176" t="s">
        <v>464</v>
      </c>
      <c r="C16" s="176" t="s">
        <v>464</v>
      </c>
      <c r="D16" s="176" t="s">
        <v>464</v>
      </c>
      <c r="E16" s="381" t="s">
        <v>464</v>
      </c>
    </row>
    <row r="17" spans="1:256" ht="22.5" customHeight="1">
      <c r="A17" s="738" t="s">
        <v>1532</v>
      </c>
      <c r="B17" s="169"/>
      <c r="C17" s="169"/>
      <c r="D17" s="169"/>
      <c r="E17" s="379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15"/>
      <c r="CY17" s="315"/>
      <c r="CZ17" s="315"/>
      <c r="DA17" s="315"/>
      <c r="DB17" s="315"/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5"/>
      <c r="DX17" s="315"/>
      <c r="DY17" s="315"/>
      <c r="DZ17" s="315"/>
      <c r="EA17" s="315"/>
      <c r="EB17" s="315"/>
      <c r="EC17" s="315"/>
      <c r="ED17" s="315"/>
      <c r="EE17" s="315"/>
      <c r="EF17" s="315"/>
      <c r="EG17" s="315"/>
      <c r="EH17" s="315"/>
      <c r="EI17" s="315"/>
      <c r="EJ17" s="315"/>
      <c r="EK17" s="315"/>
      <c r="EL17" s="315"/>
      <c r="EM17" s="315"/>
      <c r="EN17" s="315"/>
      <c r="EO17" s="315"/>
      <c r="EP17" s="315"/>
      <c r="EQ17" s="315"/>
      <c r="ER17" s="315"/>
      <c r="ES17" s="315"/>
      <c r="ET17" s="315"/>
      <c r="EU17" s="315"/>
      <c r="EV17" s="315"/>
      <c r="EW17" s="315"/>
      <c r="EX17" s="315"/>
      <c r="EY17" s="315"/>
      <c r="EZ17" s="315"/>
      <c r="FA17" s="315"/>
      <c r="FB17" s="315"/>
      <c r="FC17" s="315"/>
      <c r="FD17" s="315"/>
      <c r="FE17" s="315"/>
      <c r="FF17" s="315"/>
      <c r="FG17" s="315"/>
      <c r="FH17" s="315"/>
      <c r="FI17" s="315"/>
      <c r="FJ17" s="315"/>
      <c r="FK17" s="315"/>
      <c r="FL17" s="315"/>
      <c r="FM17" s="315"/>
      <c r="FN17" s="315"/>
      <c r="FO17" s="315"/>
      <c r="FP17" s="315"/>
      <c r="FQ17" s="315"/>
      <c r="FR17" s="315"/>
      <c r="FS17" s="315"/>
      <c r="FT17" s="315"/>
      <c r="FU17" s="315"/>
      <c r="FV17" s="315"/>
      <c r="FW17" s="315"/>
      <c r="FX17" s="315"/>
      <c r="FY17" s="315"/>
      <c r="FZ17" s="315"/>
      <c r="GA17" s="315"/>
      <c r="GB17" s="315"/>
      <c r="GC17" s="315"/>
      <c r="GD17" s="315"/>
      <c r="GE17" s="315"/>
      <c r="GF17" s="315"/>
      <c r="GG17" s="315"/>
      <c r="GH17" s="315"/>
      <c r="GI17" s="315"/>
      <c r="GJ17" s="315"/>
      <c r="GK17" s="315"/>
      <c r="GL17" s="315"/>
      <c r="GM17" s="315"/>
      <c r="GN17" s="315"/>
      <c r="GO17" s="315"/>
      <c r="GP17" s="315"/>
      <c r="GQ17" s="315"/>
      <c r="GR17" s="315"/>
      <c r="GS17" s="315"/>
      <c r="GT17" s="315"/>
      <c r="GU17" s="315"/>
      <c r="GV17" s="315"/>
      <c r="GW17" s="315"/>
      <c r="GX17" s="315"/>
      <c r="GY17" s="315"/>
      <c r="GZ17" s="315"/>
      <c r="HA17" s="315"/>
      <c r="HB17" s="315"/>
      <c r="HC17" s="315"/>
      <c r="HD17" s="315"/>
      <c r="HE17" s="315"/>
      <c r="HF17" s="315"/>
      <c r="HG17" s="315"/>
      <c r="HH17" s="315"/>
      <c r="HI17" s="315"/>
      <c r="HJ17" s="315"/>
      <c r="HK17" s="315"/>
      <c r="HL17" s="315"/>
      <c r="HM17" s="315"/>
      <c r="HN17" s="315"/>
      <c r="HO17" s="315"/>
      <c r="HP17" s="315"/>
      <c r="HQ17" s="315"/>
      <c r="HR17" s="315"/>
      <c r="HS17" s="315"/>
      <c r="HT17" s="315"/>
      <c r="HU17" s="315"/>
      <c r="HV17" s="315"/>
      <c r="HW17" s="315"/>
      <c r="HX17" s="315"/>
      <c r="HY17" s="315"/>
      <c r="HZ17" s="315"/>
      <c r="IA17" s="315"/>
      <c r="IB17" s="315"/>
      <c r="IC17" s="315"/>
      <c r="ID17" s="315"/>
      <c r="IE17" s="315"/>
      <c r="IF17" s="315"/>
      <c r="IG17" s="315"/>
      <c r="IH17" s="315"/>
      <c r="II17" s="315"/>
      <c r="IJ17" s="315"/>
      <c r="IK17" s="315"/>
      <c r="IL17" s="315"/>
      <c r="IM17" s="315"/>
      <c r="IN17" s="315"/>
      <c r="IO17" s="315"/>
      <c r="IP17" s="315"/>
      <c r="IQ17" s="315"/>
      <c r="IR17" s="315"/>
      <c r="IS17" s="315"/>
      <c r="IT17" s="315"/>
      <c r="IU17" s="315"/>
      <c r="IV17" s="315"/>
    </row>
    <row r="18" spans="1:5" ht="22.5" customHeight="1">
      <c r="A18" s="1980" t="s">
        <v>1612</v>
      </c>
      <c r="B18" s="176">
        <v>840</v>
      </c>
      <c r="C18" s="176" t="s">
        <v>464</v>
      </c>
      <c r="D18" s="176" t="s">
        <v>464</v>
      </c>
      <c r="E18" s="381">
        <f>SUM(B18:D18)</f>
        <v>840</v>
      </c>
    </row>
    <row r="19" spans="1:256" ht="22.5" customHeight="1">
      <c r="A19" s="738" t="s">
        <v>1116</v>
      </c>
      <c r="B19" s="169"/>
      <c r="C19" s="169"/>
      <c r="D19" s="169"/>
      <c r="E19" s="379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  <c r="CW19" s="315"/>
      <c r="CX19" s="315"/>
      <c r="CY19" s="315"/>
      <c r="CZ19" s="315"/>
      <c r="DA19" s="315"/>
      <c r="DB19" s="315"/>
      <c r="DC19" s="315"/>
      <c r="DD19" s="315"/>
      <c r="DE19" s="315"/>
      <c r="DF19" s="315"/>
      <c r="DG19" s="315"/>
      <c r="DH19" s="315"/>
      <c r="DI19" s="315"/>
      <c r="DJ19" s="315"/>
      <c r="DK19" s="315"/>
      <c r="DL19" s="315"/>
      <c r="DM19" s="315"/>
      <c r="DN19" s="315"/>
      <c r="DO19" s="315"/>
      <c r="DP19" s="315"/>
      <c r="DQ19" s="315"/>
      <c r="DR19" s="315"/>
      <c r="DS19" s="315"/>
      <c r="DT19" s="315"/>
      <c r="DU19" s="315"/>
      <c r="DV19" s="315"/>
      <c r="DW19" s="315"/>
      <c r="DX19" s="315"/>
      <c r="DY19" s="315"/>
      <c r="DZ19" s="315"/>
      <c r="EA19" s="315"/>
      <c r="EB19" s="315"/>
      <c r="EC19" s="315"/>
      <c r="ED19" s="315"/>
      <c r="EE19" s="315"/>
      <c r="EF19" s="315"/>
      <c r="EG19" s="315"/>
      <c r="EH19" s="315"/>
      <c r="EI19" s="315"/>
      <c r="EJ19" s="315"/>
      <c r="EK19" s="315"/>
      <c r="EL19" s="315"/>
      <c r="EM19" s="315"/>
      <c r="EN19" s="315"/>
      <c r="EO19" s="315"/>
      <c r="EP19" s="315"/>
      <c r="EQ19" s="315"/>
      <c r="ER19" s="315"/>
      <c r="ES19" s="315"/>
      <c r="ET19" s="315"/>
      <c r="EU19" s="315"/>
      <c r="EV19" s="315"/>
      <c r="EW19" s="315"/>
      <c r="EX19" s="315"/>
      <c r="EY19" s="315"/>
      <c r="EZ19" s="315"/>
      <c r="FA19" s="315"/>
      <c r="FB19" s="315"/>
      <c r="FC19" s="315"/>
      <c r="FD19" s="315"/>
      <c r="FE19" s="315"/>
      <c r="FF19" s="315"/>
      <c r="FG19" s="315"/>
      <c r="FH19" s="315"/>
      <c r="FI19" s="315"/>
      <c r="FJ19" s="315"/>
      <c r="FK19" s="315"/>
      <c r="FL19" s="315"/>
      <c r="FM19" s="315"/>
      <c r="FN19" s="315"/>
      <c r="FO19" s="315"/>
      <c r="FP19" s="315"/>
      <c r="FQ19" s="315"/>
      <c r="FR19" s="315"/>
      <c r="FS19" s="315"/>
      <c r="FT19" s="315"/>
      <c r="FU19" s="315"/>
      <c r="FV19" s="315"/>
      <c r="FW19" s="315"/>
      <c r="FX19" s="315"/>
      <c r="FY19" s="315"/>
      <c r="FZ19" s="315"/>
      <c r="GA19" s="315"/>
      <c r="GB19" s="315"/>
      <c r="GC19" s="315"/>
      <c r="GD19" s="315"/>
      <c r="GE19" s="315"/>
      <c r="GF19" s="315"/>
      <c r="GG19" s="315"/>
      <c r="GH19" s="315"/>
      <c r="GI19" s="315"/>
      <c r="GJ19" s="315"/>
      <c r="GK19" s="315"/>
      <c r="GL19" s="315"/>
      <c r="GM19" s="315"/>
      <c r="GN19" s="315"/>
      <c r="GO19" s="315"/>
      <c r="GP19" s="315"/>
      <c r="GQ19" s="315"/>
      <c r="GR19" s="315"/>
      <c r="GS19" s="315"/>
      <c r="GT19" s="315"/>
      <c r="GU19" s="315"/>
      <c r="GV19" s="315"/>
      <c r="GW19" s="315"/>
      <c r="GX19" s="315"/>
      <c r="GY19" s="315"/>
      <c r="GZ19" s="315"/>
      <c r="HA19" s="315"/>
      <c r="HB19" s="315"/>
      <c r="HC19" s="315"/>
      <c r="HD19" s="315"/>
      <c r="HE19" s="315"/>
      <c r="HF19" s="315"/>
      <c r="HG19" s="315"/>
      <c r="HH19" s="315"/>
      <c r="HI19" s="315"/>
      <c r="HJ19" s="315"/>
      <c r="HK19" s="315"/>
      <c r="HL19" s="315"/>
      <c r="HM19" s="315"/>
      <c r="HN19" s="315"/>
      <c r="HO19" s="315"/>
      <c r="HP19" s="315"/>
      <c r="HQ19" s="315"/>
      <c r="HR19" s="315"/>
      <c r="HS19" s="315"/>
      <c r="HT19" s="315"/>
      <c r="HU19" s="315"/>
      <c r="HV19" s="315"/>
      <c r="HW19" s="315"/>
      <c r="HX19" s="315"/>
      <c r="HY19" s="315"/>
      <c r="HZ19" s="315"/>
      <c r="IA19" s="315"/>
      <c r="IB19" s="315"/>
      <c r="IC19" s="315"/>
      <c r="ID19" s="315"/>
      <c r="IE19" s="315"/>
      <c r="IF19" s="315"/>
      <c r="IG19" s="315"/>
      <c r="IH19" s="315"/>
      <c r="II19" s="315"/>
      <c r="IJ19" s="315"/>
      <c r="IK19" s="315"/>
      <c r="IL19" s="315"/>
      <c r="IM19" s="315"/>
      <c r="IN19" s="315"/>
      <c r="IO19" s="315"/>
      <c r="IP19" s="315"/>
      <c r="IQ19" s="315"/>
      <c r="IR19" s="315"/>
      <c r="IS19" s="315"/>
      <c r="IT19" s="315"/>
      <c r="IU19" s="315"/>
      <c r="IV19" s="315"/>
    </row>
    <row r="20" spans="1:5" ht="22.5" customHeight="1">
      <c r="A20" s="1437" t="s">
        <v>1117</v>
      </c>
      <c r="B20" s="1440" t="s">
        <v>464</v>
      </c>
      <c r="C20" s="176" t="s">
        <v>464</v>
      </c>
      <c r="D20" s="176" t="s">
        <v>464</v>
      </c>
      <c r="E20" s="1692" t="s">
        <v>464</v>
      </c>
    </row>
    <row r="21" spans="1:256" ht="22.5" customHeight="1">
      <c r="A21" s="738" t="s">
        <v>1118</v>
      </c>
      <c r="B21" s="169"/>
      <c r="C21" s="169"/>
      <c r="D21" s="169"/>
      <c r="E21" s="379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  <c r="CW21" s="315"/>
      <c r="CX21" s="315"/>
      <c r="CY21" s="315"/>
      <c r="CZ21" s="315"/>
      <c r="DA21" s="315"/>
      <c r="DB21" s="315"/>
      <c r="DC21" s="315"/>
      <c r="DD21" s="315"/>
      <c r="DE21" s="315"/>
      <c r="DF21" s="315"/>
      <c r="DG21" s="315"/>
      <c r="DH21" s="315"/>
      <c r="DI21" s="315"/>
      <c r="DJ21" s="315"/>
      <c r="DK21" s="315"/>
      <c r="DL21" s="315"/>
      <c r="DM21" s="315"/>
      <c r="DN21" s="315"/>
      <c r="DO21" s="315"/>
      <c r="DP21" s="315"/>
      <c r="DQ21" s="315"/>
      <c r="DR21" s="315"/>
      <c r="DS21" s="315"/>
      <c r="DT21" s="315"/>
      <c r="DU21" s="315"/>
      <c r="DV21" s="315"/>
      <c r="DW21" s="315"/>
      <c r="DX21" s="315"/>
      <c r="DY21" s="315"/>
      <c r="DZ21" s="315"/>
      <c r="EA21" s="315"/>
      <c r="EB21" s="315"/>
      <c r="EC21" s="315"/>
      <c r="ED21" s="315"/>
      <c r="EE21" s="315"/>
      <c r="EF21" s="315"/>
      <c r="EG21" s="315"/>
      <c r="EH21" s="315"/>
      <c r="EI21" s="315"/>
      <c r="EJ21" s="315"/>
      <c r="EK21" s="315"/>
      <c r="EL21" s="315"/>
      <c r="EM21" s="315"/>
      <c r="EN21" s="315"/>
      <c r="EO21" s="315"/>
      <c r="EP21" s="315"/>
      <c r="EQ21" s="315"/>
      <c r="ER21" s="315"/>
      <c r="ES21" s="315"/>
      <c r="ET21" s="315"/>
      <c r="EU21" s="315"/>
      <c r="EV21" s="315"/>
      <c r="EW21" s="315"/>
      <c r="EX21" s="315"/>
      <c r="EY21" s="315"/>
      <c r="EZ21" s="315"/>
      <c r="FA21" s="315"/>
      <c r="FB21" s="315"/>
      <c r="FC21" s="315"/>
      <c r="FD21" s="315"/>
      <c r="FE21" s="315"/>
      <c r="FF21" s="315"/>
      <c r="FG21" s="315"/>
      <c r="FH21" s="315"/>
      <c r="FI21" s="315"/>
      <c r="FJ21" s="315"/>
      <c r="FK21" s="315"/>
      <c r="FL21" s="315"/>
      <c r="FM21" s="315"/>
      <c r="FN21" s="315"/>
      <c r="FO21" s="315"/>
      <c r="FP21" s="315"/>
      <c r="FQ21" s="315"/>
      <c r="FR21" s="315"/>
      <c r="FS21" s="315"/>
      <c r="FT21" s="315"/>
      <c r="FU21" s="315"/>
      <c r="FV21" s="315"/>
      <c r="FW21" s="315"/>
      <c r="FX21" s="315"/>
      <c r="FY21" s="315"/>
      <c r="FZ21" s="315"/>
      <c r="GA21" s="315"/>
      <c r="GB21" s="315"/>
      <c r="GC21" s="315"/>
      <c r="GD21" s="315"/>
      <c r="GE21" s="315"/>
      <c r="GF21" s="315"/>
      <c r="GG21" s="315"/>
      <c r="GH21" s="315"/>
      <c r="GI21" s="315"/>
      <c r="GJ21" s="315"/>
      <c r="GK21" s="315"/>
      <c r="GL21" s="315"/>
      <c r="GM21" s="315"/>
      <c r="GN21" s="315"/>
      <c r="GO21" s="315"/>
      <c r="GP21" s="315"/>
      <c r="GQ21" s="315"/>
      <c r="GR21" s="315"/>
      <c r="GS21" s="315"/>
      <c r="GT21" s="315"/>
      <c r="GU21" s="315"/>
      <c r="GV21" s="315"/>
      <c r="GW21" s="315"/>
      <c r="GX21" s="315"/>
      <c r="GY21" s="315"/>
      <c r="GZ21" s="315"/>
      <c r="HA21" s="315"/>
      <c r="HB21" s="315"/>
      <c r="HC21" s="315"/>
      <c r="HD21" s="315"/>
      <c r="HE21" s="315"/>
      <c r="HF21" s="315"/>
      <c r="HG21" s="315"/>
      <c r="HH21" s="315"/>
      <c r="HI21" s="315"/>
      <c r="HJ21" s="315"/>
      <c r="HK21" s="315"/>
      <c r="HL21" s="315"/>
      <c r="HM21" s="315"/>
      <c r="HN21" s="315"/>
      <c r="HO21" s="315"/>
      <c r="HP21" s="315"/>
      <c r="HQ21" s="315"/>
      <c r="HR21" s="315"/>
      <c r="HS21" s="315"/>
      <c r="HT21" s="315"/>
      <c r="HU21" s="315"/>
      <c r="HV21" s="315"/>
      <c r="HW21" s="315"/>
      <c r="HX21" s="315"/>
      <c r="HY21" s="315"/>
      <c r="HZ21" s="315"/>
      <c r="IA21" s="315"/>
      <c r="IB21" s="315"/>
      <c r="IC21" s="315"/>
      <c r="ID21" s="315"/>
      <c r="IE21" s="315"/>
      <c r="IF21" s="315"/>
      <c r="IG21" s="315"/>
      <c r="IH21" s="315"/>
      <c r="II21" s="315"/>
      <c r="IJ21" s="315"/>
      <c r="IK21" s="315"/>
      <c r="IL21" s="315"/>
      <c r="IM21" s="315"/>
      <c r="IN21" s="315"/>
      <c r="IO21" s="315"/>
      <c r="IP21" s="315"/>
      <c r="IQ21" s="315"/>
      <c r="IR21" s="315"/>
      <c r="IS21" s="315"/>
      <c r="IT21" s="315"/>
      <c r="IU21" s="315"/>
      <c r="IV21" s="315"/>
    </row>
    <row r="22" spans="1:5" ht="22.5" customHeight="1">
      <c r="A22" s="1437" t="s">
        <v>1119</v>
      </c>
      <c r="B22" s="176" t="s">
        <v>464</v>
      </c>
      <c r="C22" s="176" t="s">
        <v>464</v>
      </c>
      <c r="D22" s="176" t="s">
        <v>464</v>
      </c>
      <c r="E22" s="1692" t="s">
        <v>464</v>
      </c>
    </row>
    <row r="23" spans="1:256" ht="22.5" customHeight="1">
      <c r="A23" s="738" t="s">
        <v>1120</v>
      </c>
      <c r="B23" s="169"/>
      <c r="C23" s="169"/>
      <c r="D23" s="169"/>
      <c r="E23" s="379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315"/>
      <c r="DS23" s="315"/>
      <c r="DT23" s="315"/>
      <c r="DU23" s="315"/>
      <c r="DV23" s="315"/>
      <c r="DW23" s="315"/>
      <c r="DX23" s="315"/>
      <c r="DY23" s="315"/>
      <c r="DZ23" s="315"/>
      <c r="EA23" s="315"/>
      <c r="EB23" s="315"/>
      <c r="EC23" s="315"/>
      <c r="ED23" s="315"/>
      <c r="EE23" s="315"/>
      <c r="EF23" s="315"/>
      <c r="EG23" s="315"/>
      <c r="EH23" s="315"/>
      <c r="EI23" s="315"/>
      <c r="EJ23" s="315"/>
      <c r="EK23" s="315"/>
      <c r="EL23" s="315"/>
      <c r="EM23" s="315"/>
      <c r="EN23" s="315"/>
      <c r="EO23" s="315"/>
      <c r="EP23" s="315"/>
      <c r="EQ23" s="315"/>
      <c r="ER23" s="315"/>
      <c r="ES23" s="315"/>
      <c r="ET23" s="315"/>
      <c r="EU23" s="315"/>
      <c r="EV23" s="315"/>
      <c r="EW23" s="315"/>
      <c r="EX23" s="315"/>
      <c r="EY23" s="315"/>
      <c r="EZ23" s="315"/>
      <c r="FA23" s="315"/>
      <c r="FB23" s="315"/>
      <c r="FC23" s="315"/>
      <c r="FD23" s="315"/>
      <c r="FE23" s="315"/>
      <c r="FF23" s="315"/>
      <c r="FG23" s="315"/>
      <c r="FH23" s="315"/>
      <c r="FI23" s="315"/>
      <c r="FJ23" s="315"/>
      <c r="FK23" s="315"/>
      <c r="FL23" s="315"/>
      <c r="FM23" s="315"/>
      <c r="FN23" s="315"/>
      <c r="FO23" s="315"/>
      <c r="FP23" s="315"/>
      <c r="FQ23" s="315"/>
      <c r="FR23" s="315"/>
      <c r="FS23" s="315"/>
      <c r="FT23" s="315"/>
      <c r="FU23" s="315"/>
      <c r="FV23" s="315"/>
      <c r="FW23" s="315"/>
      <c r="FX23" s="315"/>
      <c r="FY23" s="315"/>
      <c r="FZ23" s="315"/>
      <c r="GA23" s="315"/>
      <c r="GB23" s="315"/>
      <c r="GC23" s="315"/>
      <c r="GD23" s="315"/>
      <c r="GE23" s="315"/>
      <c r="GF23" s="315"/>
      <c r="GG23" s="315"/>
      <c r="GH23" s="315"/>
      <c r="GI23" s="315"/>
      <c r="GJ23" s="315"/>
      <c r="GK23" s="315"/>
      <c r="GL23" s="315"/>
      <c r="GM23" s="315"/>
      <c r="GN23" s="315"/>
      <c r="GO23" s="315"/>
      <c r="GP23" s="315"/>
      <c r="GQ23" s="315"/>
      <c r="GR23" s="315"/>
      <c r="GS23" s="315"/>
      <c r="GT23" s="315"/>
      <c r="GU23" s="315"/>
      <c r="GV23" s="315"/>
      <c r="GW23" s="315"/>
      <c r="GX23" s="315"/>
      <c r="GY23" s="315"/>
      <c r="GZ23" s="315"/>
      <c r="HA23" s="315"/>
      <c r="HB23" s="315"/>
      <c r="HC23" s="315"/>
      <c r="HD23" s="315"/>
      <c r="HE23" s="315"/>
      <c r="HF23" s="315"/>
      <c r="HG23" s="315"/>
      <c r="HH23" s="315"/>
      <c r="HI23" s="315"/>
      <c r="HJ23" s="315"/>
      <c r="HK23" s="315"/>
      <c r="HL23" s="315"/>
      <c r="HM23" s="315"/>
      <c r="HN23" s="315"/>
      <c r="HO23" s="315"/>
      <c r="HP23" s="315"/>
      <c r="HQ23" s="315"/>
      <c r="HR23" s="315"/>
      <c r="HS23" s="315"/>
      <c r="HT23" s="315"/>
      <c r="HU23" s="315"/>
      <c r="HV23" s="315"/>
      <c r="HW23" s="315"/>
      <c r="HX23" s="315"/>
      <c r="HY23" s="315"/>
      <c r="HZ23" s="315"/>
      <c r="IA23" s="315"/>
      <c r="IB23" s="315"/>
      <c r="IC23" s="315"/>
      <c r="ID23" s="315"/>
      <c r="IE23" s="315"/>
      <c r="IF23" s="315"/>
      <c r="IG23" s="315"/>
      <c r="IH23" s="315"/>
      <c r="II23" s="315"/>
      <c r="IJ23" s="315"/>
      <c r="IK23" s="315"/>
      <c r="IL23" s="315"/>
      <c r="IM23" s="315"/>
      <c r="IN23" s="315"/>
      <c r="IO23" s="315"/>
      <c r="IP23" s="315"/>
      <c r="IQ23" s="315"/>
      <c r="IR23" s="315"/>
      <c r="IS23" s="315"/>
      <c r="IT23" s="315"/>
      <c r="IU23" s="315"/>
      <c r="IV23" s="315"/>
    </row>
    <row r="24" spans="1:5" ht="22.5" customHeight="1">
      <c r="A24" s="1437" t="s">
        <v>1121</v>
      </c>
      <c r="B24" s="176" t="s">
        <v>464</v>
      </c>
      <c r="C24" s="176"/>
      <c r="D24" s="176" t="s">
        <v>464</v>
      </c>
      <c r="E24" s="1447" t="s">
        <v>464</v>
      </c>
    </row>
    <row r="25" spans="1:256" ht="22.5" customHeight="1">
      <c r="A25" s="738" t="s">
        <v>426</v>
      </c>
      <c r="B25" s="169"/>
      <c r="C25" s="169"/>
      <c r="D25" s="169"/>
      <c r="E25" s="379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315"/>
      <c r="EO25" s="315"/>
      <c r="EP25" s="315"/>
      <c r="EQ25" s="315"/>
      <c r="ER25" s="315"/>
      <c r="ES25" s="315"/>
      <c r="ET25" s="315"/>
      <c r="EU25" s="315"/>
      <c r="EV25" s="315"/>
      <c r="EW25" s="315"/>
      <c r="EX25" s="315"/>
      <c r="EY25" s="315"/>
      <c r="EZ25" s="315"/>
      <c r="FA25" s="315"/>
      <c r="FB25" s="315"/>
      <c r="FC25" s="315"/>
      <c r="FD25" s="315"/>
      <c r="FE25" s="315"/>
      <c r="FF25" s="315"/>
      <c r="FG25" s="315"/>
      <c r="FH25" s="315"/>
      <c r="FI25" s="315"/>
      <c r="FJ25" s="315"/>
      <c r="FK25" s="315"/>
      <c r="FL25" s="315"/>
      <c r="FM25" s="315"/>
      <c r="FN25" s="315"/>
      <c r="FO25" s="315"/>
      <c r="FP25" s="315"/>
      <c r="FQ25" s="315"/>
      <c r="FR25" s="315"/>
      <c r="FS25" s="315"/>
      <c r="FT25" s="315"/>
      <c r="FU25" s="315"/>
      <c r="FV25" s="315"/>
      <c r="FW25" s="315"/>
      <c r="FX25" s="315"/>
      <c r="FY25" s="315"/>
      <c r="FZ25" s="315"/>
      <c r="GA25" s="315"/>
      <c r="GB25" s="315"/>
      <c r="GC25" s="315"/>
      <c r="GD25" s="315"/>
      <c r="GE25" s="315"/>
      <c r="GF25" s="315"/>
      <c r="GG25" s="315"/>
      <c r="GH25" s="315"/>
      <c r="GI25" s="315"/>
      <c r="GJ25" s="315"/>
      <c r="GK25" s="315"/>
      <c r="GL25" s="315"/>
      <c r="GM25" s="315"/>
      <c r="GN25" s="315"/>
      <c r="GO25" s="315"/>
      <c r="GP25" s="315"/>
      <c r="GQ25" s="315"/>
      <c r="GR25" s="315"/>
      <c r="GS25" s="315"/>
      <c r="GT25" s="315"/>
      <c r="GU25" s="315"/>
      <c r="GV25" s="315"/>
      <c r="GW25" s="315"/>
      <c r="GX25" s="315"/>
      <c r="GY25" s="315"/>
      <c r="GZ25" s="315"/>
      <c r="HA25" s="315"/>
      <c r="HB25" s="315"/>
      <c r="HC25" s="315"/>
      <c r="HD25" s="315"/>
      <c r="HE25" s="315"/>
      <c r="HF25" s="315"/>
      <c r="HG25" s="315"/>
      <c r="HH25" s="315"/>
      <c r="HI25" s="315"/>
      <c r="HJ25" s="315"/>
      <c r="HK25" s="315"/>
      <c r="HL25" s="315"/>
      <c r="HM25" s="315"/>
      <c r="HN25" s="315"/>
      <c r="HO25" s="315"/>
      <c r="HP25" s="315"/>
      <c r="HQ25" s="315"/>
      <c r="HR25" s="315"/>
      <c r="HS25" s="315"/>
      <c r="HT25" s="315"/>
      <c r="HU25" s="315"/>
      <c r="HV25" s="315"/>
      <c r="HW25" s="315"/>
      <c r="HX25" s="315"/>
      <c r="HY25" s="315"/>
      <c r="HZ25" s="315"/>
      <c r="IA25" s="315"/>
      <c r="IB25" s="315"/>
      <c r="IC25" s="315"/>
      <c r="ID25" s="315"/>
      <c r="IE25" s="315"/>
      <c r="IF25" s="315"/>
      <c r="IG25" s="315"/>
      <c r="IH25" s="315"/>
      <c r="II25" s="315"/>
      <c r="IJ25" s="315"/>
      <c r="IK25" s="315"/>
      <c r="IL25" s="315"/>
      <c r="IM25" s="315"/>
      <c r="IN25" s="315"/>
      <c r="IO25" s="315"/>
      <c r="IP25" s="315"/>
      <c r="IQ25" s="315"/>
      <c r="IR25" s="315"/>
      <c r="IS25" s="315"/>
      <c r="IT25" s="315"/>
      <c r="IU25" s="315"/>
      <c r="IV25" s="315"/>
    </row>
    <row r="26" spans="1:5" ht="22.5" customHeight="1">
      <c r="A26" s="1437" t="s">
        <v>427</v>
      </c>
      <c r="B26" s="176" t="s">
        <v>464</v>
      </c>
      <c r="C26" s="176" t="s">
        <v>464</v>
      </c>
      <c r="D26" s="176" t="s">
        <v>464</v>
      </c>
      <c r="E26" s="1446" t="s">
        <v>464</v>
      </c>
    </row>
    <row r="27" spans="1:256" ht="0.75" customHeight="1">
      <c r="A27" s="738"/>
      <c r="B27" s="169"/>
      <c r="C27" s="169"/>
      <c r="D27" s="169"/>
      <c r="E27" s="379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  <c r="DE27" s="315"/>
      <c r="DF27" s="315"/>
      <c r="DG27" s="315"/>
      <c r="DH27" s="315"/>
      <c r="DI27" s="315"/>
      <c r="DJ27" s="315"/>
      <c r="DK27" s="315"/>
      <c r="DL27" s="315"/>
      <c r="DM27" s="315"/>
      <c r="DN27" s="315"/>
      <c r="DO27" s="315"/>
      <c r="DP27" s="315"/>
      <c r="DQ27" s="315"/>
      <c r="DR27" s="315"/>
      <c r="DS27" s="315"/>
      <c r="DT27" s="315"/>
      <c r="DU27" s="315"/>
      <c r="DV27" s="315"/>
      <c r="DW27" s="315"/>
      <c r="DX27" s="315"/>
      <c r="DY27" s="315"/>
      <c r="DZ27" s="315"/>
      <c r="EA27" s="315"/>
      <c r="EB27" s="315"/>
      <c r="EC27" s="315"/>
      <c r="ED27" s="315"/>
      <c r="EE27" s="315"/>
      <c r="EF27" s="315"/>
      <c r="EG27" s="315"/>
      <c r="EH27" s="315"/>
      <c r="EI27" s="315"/>
      <c r="EJ27" s="315"/>
      <c r="EK27" s="315"/>
      <c r="EL27" s="315"/>
      <c r="EM27" s="315"/>
      <c r="EN27" s="315"/>
      <c r="EO27" s="315"/>
      <c r="EP27" s="315"/>
      <c r="EQ27" s="315"/>
      <c r="ER27" s="315"/>
      <c r="ES27" s="315"/>
      <c r="ET27" s="315"/>
      <c r="EU27" s="315"/>
      <c r="EV27" s="315"/>
      <c r="EW27" s="315"/>
      <c r="EX27" s="315"/>
      <c r="EY27" s="315"/>
      <c r="EZ27" s="315"/>
      <c r="FA27" s="315"/>
      <c r="FB27" s="315"/>
      <c r="FC27" s="315"/>
      <c r="FD27" s="315"/>
      <c r="FE27" s="315"/>
      <c r="FF27" s="315"/>
      <c r="FG27" s="315"/>
      <c r="FH27" s="315"/>
      <c r="FI27" s="315"/>
      <c r="FJ27" s="315"/>
      <c r="FK27" s="315"/>
      <c r="FL27" s="315"/>
      <c r="FM27" s="315"/>
      <c r="FN27" s="315"/>
      <c r="FO27" s="315"/>
      <c r="FP27" s="315"/>
      <c r="FQ27" s="315"/>
      <c r="FR27" s="315"/>
      <c r="FS27" s="315"/>
      <c r="FT27" s="315"/>
      <c r="FU27" s="315"/>
      <c r="FV27" s="315"/>
      <c r="FW27" s="315"/>
      <c r="FX27" s="315"/>
      <c r="FY27" s="315"/>
      <c r="FZ27" s="315"/>
      <c r="GA27" s="315"/>
      <c r="GB27" s="315"/>
      <c r="GC27" s="315"/>
      <c r="GD27" s="315"/>
      <c r="GE27" s="315"/>
      <c r="GF27" s="315"/>
      <c r="GG27" s="315"/>
      <c r="GH27" s="315"/>
      <c r="GI27" s="315"/>
      <c r="GJ27" s="315"/>
      <c r="GK27" s="315"/>
      <c r="GL27" s="315"/>
      <c r="GM27" s="315"/>
      <c r="GN27" s="315"/>
      <c r="GO27" s="315"/>
      <c r="GP27" s="315"/>
      <c r="GQ27" s="315"/>
      <c r="GR27" s="315"/>
      <c r="GS27" s="315"/>
      <c r="GT27" s="315"/>
      <c r="GU27" s="315"/>
      <c r="GV27" s="315"/>
      <c r="GW27" s="315"/>
      <c r="GX27" s="315"/>
      <c r="GY27" s="315"/>
      <c r="GZ27" s="315"/>
      <c r="HA27" s="315"/>
      <c r="HB27" s="315"/>
      <c r="HC27" s="315"/>
      <c r="HD27" s="315"/>
      <c r="HE27" s="315"/>
      <c r="HF27" s="315"/>
      <c r="HG27" s="315"/>
      <c r="HH27" s="315"/>
      <c r="HI27" s="315"/>
      <c r="HJ27" s="315"/>
      <c r="HK27" s="315"/>
      <c r="HL27" s="315"/>
      <c r="HM27" s="315"/>
      <c r="HN27" s="315"/>
      <c r="HO27" s="315"/>
      <c r="HP27" s="315"/>
      <c r="HQ27" s="315"/>
      <c r="HR27" s="315"/>
      <c r="HS27" s="315"/>
      <c r="HT27" s="315"/>
      <c r="HU27" s="315"/>
      <c r="HV27" s="315"/>
      <c r="HW27" s="315"/>
      <c r="HX27" s="315"/>
      <c r="HY27" s="315"/>
      <c r="HZ27" s="315"/>
      <c r="IA27" s="315"/>
      <c r="IB27" s="315"/>
      <c r="IC27" s="315"/>
      <c r="ID27" s="315"/>
      <c r="IE27" s="315"/>
      <c r="IF27" s="315"/>
      <c r="IG27" s="315"/>
      <c r="IH27" s="315"/>
      <c r="II27" s="315"/>
      <c r="IJ27" s="315"/>
      <c r="IK27" s="315"/>
      <c r="IL27" s="315"/>
      <c r="IM27" s="315"/>
      <c r="IN27" s="315"/>
      <c r="IO27" s="315"/>
      <c r="IP27" s="315"/>
      <c r="IQ27" s="315"/>
      <c r="IR27" s="315"/>
      <c r="IS27" s="315"/>
      <c r="IT27" s="315"/>
      <c r="IU27" s="315"/>
      <c r="IV27" s="315"/>
    </row>
    <row r="28" spans="1:5" ht="22.5" customHeight="1">
      <c r="A28" s="321" t="s">
        <v>1122</v>
      </c>
      <c r="B28" s="145"/>
      <c r="C28" s="145"/>
      <c r="D28" s="145"/>
      <c r="E28" s="380"/>
    </row>
    <row r="29" spans="1:5" ht="22.5" customHeight="1">
      <c r="A29" s="1981" t="s">
        <v>1613</v>
      </c>
      <c r="B29" s="1912" t="s">
        <v>464</v>
      </c>
      <c r="C29" s="169"/>
      <c r="D29" s="1912" t="s">
        <v>464</v>
      </c>
      <c r="E29" s="2526" t="s">
        <v>464</v>
      </c>
    </row>
    <row r="30" spans="1:5" ht="22.5" customHeight="1" thickBot="1">
      <c r="A30" s="1982" t="s">
        <v>1614</v>
      </c>
      <c r="B30" s="2159" t="s">
        <v>464</v>
      </c>
      <c r="C30" s="2158"/>
      <c r="D30" s="2159" t="s">
        <v>464</v>
      </c>
      <c r="E30" s="2525" t="s">
        <v>464</v>
      </c>
    </row>
    <row r="31" spans="1:5" ht="22.5" customHeight="1">
      <c r="A31" s="1913"/>
      <c r="B31" s="1914"/>
      <c r="C31" s="1914"/>
      <c r="D31" s="1914"/>
      <c r="E31" s="1915"/>
    </row>
    <row r="32" spans="1:5" ht="12.75">
      <c r="A32" s="1916"/>
      <c r="B32" s="1917"/>
      <c r="C32" s="1917"/>
      <c r="D32" s="1917"/>
      <c r="E32" s="1918"/>
    </row>
    <row r="33" ht="20.25" customHeight="1"/>
  </sheetData>
  <sheetProtection/>
  <printOptions/>
  <pageMargins left="1" right="1" top="1" bottom="1" header="0.5" footer="0.5"/>
  <pageSetup horizontalDpi="300" verticalDpi="300" orientation="portrait" paperSize="9" scale="7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V60"/>
  <sheetViews>
    <sheetView zoomScale="75" zoomScaleNormal="75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E60"/>
    </sheetView>
  </sheetViews>
  <sheetFormatPr defaultColWidth="9.7109375" defaultRowHeight="12.75"/>
  <cols>
    <col min="1" max="1" width="31.28125" style="2" customWidth="1"/>
    <col min="2" max="2" width="17.421875" style="2" customWidth="1"/>
    <col min="3" max="3" width="20.8515625" style="2" customWidth="1"/>
    <col min="4" max="4" width="17.00390625" style="2" customWidth="1"/>
    <col min="5" max="5" width="19.00390625" style="4" customWidth="1"/>
    <col min="6" max="6" width="9.7109375" style="2" customWidth="1"/>
    <col min="7" max="7" width="7.7109375" style="2" customWidth="1"/>
    <col min="8" max="8" width="12.7109375" style="2" customWidth="1"/>
    <col min="9" max="9" width="11.00390625" style="2" customWidth="1"/>
    <col min="10" max="10" width="8.421875" style="2" customWidth="1"/>
    <col min="11" max="11" width="7.7109375" style="2" customWidth="1"/>
    <col min="12" max="12" width="8.57421875" style="2" customWidth="1"/>
    <col min="13" max="16384" width="9.7109375" style="2" customWidth="1"/>
  </cols>
  <sheetData>
    <row r="1" spans="1:12" ht="18" customHeight="1">
      <c r="A1" s="49" t="s">
        <v>1124</v>
      </c>
      <c r="B1" s="141"/>
      <c r="C1" s="141"/>
      <c r="D1" s="141"/>
      <c r="E1" s="142"/>
      <c r="L1" s="8"/>
    </row>
    <row r="2" spans="1:5" ht="18" customHeight="1" thickBot="1">
      <c r="A2" s="141"/>
      <c r="B2" s="141"/>
      <c r="C2" s="141"/>
      <c r="D2" s="141"/>
      <c r="E2" s="36" t="s">
        <v>936</v>
      </c>
    </row>
    <row r="3" spans="1:256" ht="18" customHeight="1">
      <c r="A3" s="1448" t="s">
        <v>1057</v>
      </c>
      <c r="B3" s="147" t="s">
        <v>585</v>
      </c>
      <c r="C3" s="147" t="s">
        <v>1058</v>
      </c>
      <c r="D3" s="147" t="s">
        <v>686</v>
      </c>
      <c r="E3" s="148" t="s">
        <v>472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8" customHeight="1" thickBot="1">
      <c r="A4" s="1740" t="s">
        <v>1061</v>
      </c>
      <c r="B4" s="1741" t="s">
        <v>1125</v>
      </c>
      <c r="C4" s="1741" t="s">
        <v>1126</v>
      </c>
      <c r="D4" s="1741" t="s">
        <v>1127</v>
      </c>
      <c r="E4" s="1742" t="s">
        <v>480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1.25" customHeight="1" hidden="1">
      <c r="A5" s="1449"/>
      <c r="B5" s="1450"/>
      <c r="C5" s="1450"/>
      <c r="D5" s="1450"/>
      <c r="E5" s="153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ht="18" customHeight="1">
      <c r="A6" s="2087" t="s">
        <v>1128</v>
      </c>
      <c r="B6" s="79"/>
      <c r="C6" s="79"/>
      <c r="D6" s="79"/>
      <c r="E6" s="14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5" ht="18" customHeight="1">
      <c r="A7" s="2088" t="s">
        <v>1129</v>
      </c>
      <c r="B7" s="91"/>
      <c r="C7" s="91"/>
      <c r="D7" s="91"/>
      <c r="E7" s="149"/>
    </row>
    <row r="8" spans="1:5" ht="18" customHeight="1">
      <c r="A8" s="2089" t="s">
        <v>149</v>
      </c>
      <c r="B8" s="1453" t="s">
        <v>464</v>
      </c>
      <c r="C8" s="93">
        <v>18385007</v>
      </c>
      <c r="D8" s="93">
        <v>2580519</v>
      </c>
      <c r="E8" s="152">
        <f>SUM(B8:D8)</f>
        <v>20965526</v>
      </c>
    </row>
    <row r="9" spans="1:5" ht="18" customHeight="1">
      <c r="A9" s="2090" t="s">
        <v>151</v>
      </c>
      <c r="B9" s="1451" t="s">
        <v>464</v>
      </c>
      <c r="C9" s="348">
        <v>1401062</v>
      </c>
      <c r="D9" s="348">
        <v>166770</v>
      </c>
      <c r="E9" s="1452">
        <f>SUM(B9:D9)</f>
        <v>1567832</v>
      </c>
    </row>
    <row r="10" spans="1:5" ht="18" customHeight="1">
      <c r="A10" s="2090" t="s">
        <v>152</v>
      </c>
      <c r="B10" s="1451" t="s">
        <v>464</v>
      </c>
      <c r="C10" s="348">
        <v>2143169</v>
      </c>
      <c r="D10" s="1461">
        <v>1285718</v>
      </c>
      <c r="E10" s="1452">
        <f>SUM(B10:D10)</f>
        <v>3428887</v>
      </c>
    </row>
    <row r="11" spans="1:5" ht="18" customHeight="1">
      <c r="A11" s="2090" t="s">
        <v>148</v>
      </c>
      <c r="B11" s="2358" t="s">
        <v>464</v>
      </c>
      <c r="C11" s="1461">
        <v>602028</v>
      </c>
      <c r="D11" s="1461">
        <v>15005975</v>
      </c>
      <c r="E11" s="1452">
        <f>SUM(B11:D11)</f>
        <v>15608003</v>
      </c>
    </row>
    <row r="12" spans="1:256" ht="18" customHeight="1">
      <c r="A12" s="2091" t="s">
        <v>473</v>
      </c>
      <c r="B12" s="1451" t="s">
        <v>464</v>
      </c>
      <c r="C12" s="1451">
        <f>SUM(C8:C11)</f>
        <v>22531266</v>
      </c>
      <c r="D12" s="1451">
        <f>SUM(D8:D11)</f>
        <v>19038982</v>
      </c>
      <c r="E12" s="1452">
        <f>SUM(E8:E11)</f>
        <v>41570248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5" ht="18" customHeight="1">
      <c r="A13" s="2092" t="s">
        <v>1130</v>
      </c>
      <c r="B13" s="79"/>
      <c r="C13" s="79"/>
      <c r="D13" s="79"/>
      <c r="E13" s="149"/>
    </row>
    <row r="14" spans="1:5" ht="18" customHeight="1">
      <c r="A14" s="2093" t="s">
        <v>1131</v>
      </c>
      <c r="B14" s="79"/>
      <c r="C14" s="79"/>
      <c r="D14" s="79"/>
      <c r="E14" s="149"/>
    </row>
    <row r="15" spans="1:5" ht="18" customHeight="1">
      <c r="A15" s="2090" t="s">
        <v>153</v>
      </c>
      <c r="B15" s="1451" t="s">
        <v>464</v>
      </c>
      <c r="C15" s="348">
        <v>1257575</v>
      </c>
      <c r="D15" s="1461" t="s">
        <v>464</v>
      </c>
      <c r="E15" s="1452">
        <f>SUM(B15:D15)</f>
        <v>1257575</v>
      </c>
    </row>
    <row r="16" spans="1:5" ht="18" customHeight="1">
      <c r="A16" s="2090" t="s">
        <v>150</v>
      </c>
      <c r="B16" s="1451" t="s">
        <v>464</v>
      </c>
      <c r="C16" s="1461">
        <v>383314</v>
      </c>
      <c r="D16" s="1461" t="s">
        <v>464</v>
      </c>
      <c r="E16" s="1452">
        <f>SUM(B16:D16)</f>
        <v>383314</v>
      </c>
    </row>
    <row r="17" spans="1:5" ht="18" customHeight="1">
      <c r="A17" s="2089" t="s">
        <v>152</v>
      </c>
      <c r="B17" s="2359" t="s">
        <v>464</v>
      </c>
      <c r="C17" s="1461">
        <v>69560</v>
      </c>
      <c r="D17" s="1461">
        <v>72940</v>
      </c>
      <c r="E17" s="1452">
        <f>SUM(B17:D17)</f>
        <v>142500</v>
      </c>
    </row>
    <row r="18" spans="1:5" ht="18" customHeight="1" thickBot="1">
      <c r="A18" s="2090" t="s">
        <v>148</v>
      </c>
      <c r="B18" s="1808" t="s">
        <v>464</v>
      </c>
      <c r="C18" s="1816" t="s">
        <v>464</v>
      </c>
      <c r="D18" s="1816">
        <v>286630</v>
      </c>
      <c r="E18" s="149">
        <f>SUM(B18:D18)</f>
        <v>286630</v>
      </c>
    </row>
    <row r="19" spans="1:256" ht="18" customHeight="1">
      <c r="A19" s="2094" t="s">
        <v>473</v>
      </c>
      <c r="B19" s="1910" t="s">
        <v>464</v>
      </c>
      <c r="C19" s="1910">
        <f>SUM(C15:C17)</f>
        <v>1710449</v>
      </c>
      <c r="D19" s="1910">
        <f>SUM(D15:D18)</f>
        <v>359570</v>
      </c>
      <c r="E19" s="153">
        <f>SUM(E15:E18)</f>
        <v>2070019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5" ht="12.75" customHeight="1">
      <c r="A20" s="2089"/>
      <c r="B20" s="93"/>
      <c r="C20" s="93"/>
      <c r="D20" s="93"/>
      <c r="E20" s="152"/>
    </row>
    <row r="21" spans="1:5" ht="18" customHeight="1">
      <c r="A21" s="2095" t="s">
        <v>1132</v>
      </c>
      <c r="B21" s="1454" t="s">
        <v>464</v>
      </c>
      <c r="C21" s="1454" t="s">
        <v>464</v>
      </c>
      <c r="D21" s="1454" t="s">
        <v>464</v>
      </c>
      <c r="E21" s="1463" t="s">
        <v>464</v>
      </c>
    </row>
    <row r="22" spans="1:256" ht="18" customHeight="1">
      <c r="A22" s="2091" t="s">
        <v>473</v>
      </c>
      <c r="B22" s="1454" t="s">
        <v>464</v>
      </c>
      <c r="C22" s="1454" t="s">
        <v>464</v>
      </c>
      <c r="D22" s="1454" t="s">
        <v>464</v>
      </c>
      <c r="E22" s="1463" t="s">
        <v>464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5" ht="18" customHeight="1">
      <c r="A23" s="2092" t="s">
        <v>703</v>
      </c>
      <c r="B23" s="93"/>
      <c r="C23" s="93"/>
      <c r="D23" s="93"/>
      <c r="E23" s="152"/>
    </row>
    <row r="24" spans="1:5" ht="18" customHeight="1">
      <c r="A24" s="2093" t="s">
        <v>708</v>
      </c>
      <c r="B24" s="1454"/>
      <c r="C24" s="77"/>
      <c r="D24" s="77"/>
      <c r="E24" s="150"/>
    </row>
    <row r="25" spans="1:5" ht="18" customHeight="1">
      <c r="A25" s="2090" t="s">
        <v>149</v>
      </c>
      <c r="B25" s="2086" t="s">
        <v>464</v>
      </c>
      <c r="C25" s="77">
        <v>635026</v>
      </c>
      <c r="D25" s="77">
        <v>85568</v>
      </c>
      <c r="E25" s="150">
        <f>SUM(C25:D25)</f>
        <v>720594</v>
      </c>
    </row>
    <row r="26" spans="1:5" ht="18" customHeight="1">
      <c r="A26" s="2090" t="s">
        <v>151</v>
      </c>
      <c r="B26" s="2086" t="s">
        <v>464</v>
      </c>
      <c r="C26" s="92" t="s">
        <v>464</v>
      </c>
      <c r="D26" s="92" t="s">
        <v>464</v>
      </c>
      <c r="E26" s="1455" t="s">
        <v>464</v>
      </c>
    </row>
    <row r="27" spans="1:5" ht="18" customHeight="1">
      <c r="A27" s="2090" t="s">
        <v>152</v>
      </c>
      <c r="B27" s="2086" t="s">
        <v>464</v>
      </c>
      <c r="C27" s="92">
        <v>17536</v>
      </c>
      <c r="D27" s="92" t="s">
        <v>464</v>
      </c>
      <c r="E27" s="150">
        <f>SUM(B27:D27)</f>
        <v>17536</v>
      </c>
    </row>
    <row r="28" spans="1:5" ht="18" customHeight="1">
      <c r="A28" s="2090" t="s">
        <v>148</v>
      </c>
      <c r="B28" s="2086" t="s">
        <v>464</v>
      </c>
      <c r="C28" s="92">
        <v>1008270</v>
      </c>
      <c r="D28" s="92">
        <v>1026127</v>
      </c>
      <c r="E28" s="150">
        <f>SUM(B28:D28)</f>
        <v>2034397</v>
      </c>
    </row>
    <row r="29" spans="1:256" ht="18" customHeight="1">
      <c r="A29" s="2091" t="s">
        <v>473</v>
      </c>
      <c r="B29" s="1451" t="s">
        <v>464</v>
      </c>
      <c r="C29" s="1451">
        <f>SUM(C25:C28)</f>
        <v>1660832</v>
      </c>
      <c r="D29" s="1451">
        <f>SUM(D25:D28)</f>
        <v>1111695</v>
      </c>
      <c r="E29" s="1452">
        <f>SUM(E25:E28)</f>
        <v>2772527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5" ht="18" customHeight="1">
      <c r="A30" s="2092" t="s">
        <v>1133</v>
      </c>
      <c r="B30" s="79"/>
      <c r="C30" s="79"/>
      <c r="D30" s="79"/>
      <c r="E30" s="149"/>
    </row>
    <row r="31" spans="1:5" ht="18" customHeight="1">
      <c r="A31" s="2093" t="s">
        <v>707</v>
      </c>
      <c r="B31" s="79"/>
      <c r="C31" s="79"/>
      <c r="D31" s="79"/>
      <c r="E31" s="149"/>
    </row>
    <row r="32" spans="1:5" ht="18" customHeight="1">
      <c r="A32" s="2090" t="s">
        <v>149</v>
      </c>
      <c r="B32" s="1451" t="s">
        <v>464</v>
      </c>
      <c r="C32" s="348">
        <v>248019</v>
      </c>
      <c r="D32" s="1461">
        <v>43376</v>
      </c>
      <c r="E32" s="1452">
        <f>SUM(B32:D32)</f>
        <v>291395</v>
      </c>
    </row>
    <row r="33" spans="1:5" ht="18" customHeight="1">
      <c r="A33" s="2090" t="s">
        <v>154</v>
      </c>
      <c r="B33" s="1451" t="s">
        <v>464</v>
      </c>
      <c r="C33" s="348"/>
      <c r="D33" s="1461" t="s">
        <v>464</v>
      </c>
      <c r="E33" s="1452">
        <f>SUM(B33:D33)</f>
        <v>0</v>
      </c>
    </row>
    <row r="34" spans="1:5" ht="18" customHeight="1">
      <c r="A34" s="2090" t="s">
        <v>155</v>
      </c>
      <c r="B34" s="1451" t="s">
        <v>464</v>
      </c>
      <c r="C34" s="348">
        <v>488837</v>
      </c>
      <c r="D34" s="1461" t="s">
        <v>464</v>
      </c>
      <c r="E34" s="1452">
        <f>SUM(B34:D34)</f>
        <v>488837</v>
      </c>
    </row>
    <row r="35" spans="1:5" ht="18" customHeight="1">
      <c r="A35" s="2090" t="s">
        <v>148</v>
      </c>
      <c r="B35" s="1451" t="s">
        <v>464</v>
      </c>
      <c r="C35" s="1461">
        <v>595516</v>
      </c>
      <c r="D35" s="1461">
        <v>585934</v>
      </c>
      <c r="E35" s="1452">
        <f>SUM(B35:D35)</f>
        <v>1181450</v>
      </c>
    </row>
    <row r="36" spans="1:5" ht="18" customHeight="1">
      <c r="A36" s="2091" t="s">
        <v>473</v>
      </c>
      <c r="B36" s="1451" t="s">
        <v>464</v>
      </c>
      <c r="C36" s="1451">
        <f>SUM(C32:C35)</f>
        <v>1332372</v>
      </c>
      <c r="D36" s="1451">
        <f>SUM(D32:D35)</f>
        <v>629310</v>
      </c>
      <c r="E36" s="1452">
        <f>SUM(E32:E35)</f>
        <v>1961682</v>
      </c>
    </row>
    <row r="37" spans="1:5" ht="18" customHeight="1">
      <c r="A37" s="2092" t="s">
        <v>555</v>
      </c>
      <c r="B37" s="79"/>
      <c r="C37" s="79"/>
      <c r="D37" s="79"/>
      <c r="E37" s="149"/>
    </row>
    <row r="38" spans="1:5" ht="18" customHeight="1">
      <c r="A38" s="2088" t="s">
        <v>706</v>
      </c>
      <c r="B38" s="79"/>
      <c r="C38" s="79"/>
      <c r="D38" s="79"/>
      <c r="E38" s="149"/>
    </row>
    <row r="39" spans="1:5" ht="23.25" customHeight="1">
      <c r="A39" s="2090" t="s">
        <v>149</v>
      </c>
      <c r="B39" s="1451" t="s">
        <v>464</v>
      </c>
      <c r="C39" s="348">
        <v>879086</v>
      </c>
      <c r="D39" s="1461" t="s">
        <v>464</v>
      </c>
      <c r="E39" s="1452">
        <f>SUM(B39:D39)</f>
        <v>879086</v>
      </c>
    </row>
    <row r="40" spans="1:5" ht="18" customHeight="1">
      <c r="A40" s="2090" t="s">
        <v>151</v>
      </c>
      <c r="B40" s="1451" t="s">
        <v>464</v>
      </c>
      <c r="C40" s="348"/>
      <c r="D40" s="348"/>
      <c r="E40" s="1452">
        <f>SUM(B40:D40)</f>
        <v>0</v>
      </c>
    </row>
    <row r="41" spans="1:5" ht="18" customHeight="1">
      <c r="A41" s="2090" t="s">
        <v>155</v>
      </c>
      <c r="B41" s="1451" t="s">
        <v>464</v>
      </c>
      <c r="C41" s="1461">
        <v>45750</v>
      </c>
      <c r="D41" s="1461">
        <v>241740</v>
      </c>
      <c r="E41" s="1462">
        <f>SUM(B41:D41)</f>
        <v>287490</v>
      </c>
    </row>
    <row r="42" spans="1:5" ht="18" customHeight="1">
      <c r="A42" s="2090" t="s">
        <v>148</v>
      </c>
      <c r="B42" s="1451" t="s">
        <v>464</v>
      </c>
      <c r="C42" s="1461">
        <v>1231540</v>
      </c>
      <c r="D42" s="1461">
        <v>2545912</v>
      </c>
      <c r="E42" s="1462">
        <f>SUM(B42:D42)</f>
        <v>3777452</v>
      </c>
    </row>
    <row r="43" spans="1:256" ht="18" customHeight="1">
      <c r="A43" s="2091" t="s">
        <v>473</v>
      </c>
      <c r="B43" s="1451" t="s">
        <v>464</v>
      </c>
      <c r="C43" s="1451">
        <f>SUM(C39:C42)</f>
        <v>2156376</v>
      </c>
      <c r="D43" s="1451">
        <f>SUM(D39:D42)</f>
        <v>2787652</v>
      </c>
      <c r="E43" s="1452">
        <f>SUM(E39:E42)</f>
        <v>4944028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5" ht="18" customHeight="1">
      <c r="A44" s="2096" t="s">
        <v>704</v>
      </c>
      <c r="B44" s="79"/>
      <c r="C44" s="79"/>
      <c r="D44" s="79"/>
      <c r="E44" s="149"/>
    </row>
    <row r="45" spans="1:5" ht="18" customHeight="1">
      <c r="A45" s="2097" t="s">
        <v>1134</v>
      </c>
      <c r="B45" s="348" t="s">
        <v>464</v>
      </c>
      <c r="C45" s="348" t="s">
        <v>464</v>
      </c>
      <c r="D45" s="348" t="s">
        <v>464</v>
      </c>
      <c r="E45" s="1456" t="s">
        <v>464</v>
      </c>
    </row>
    <row r="46" spans="1:256" ht="18" customHeight="1" thickBot="1">
      <c r="A46" s="2098" t="s">
        <v>473</v>
      </c>
      <c r="B46" s="348" t="s">
        <v>464</v>
      </c>
      <c r="C46" s="348" t="s">
        <v>464</v>
      </c>
      <c r="D46" s="348" t="s">
        <v>464</v>
      </c>
      <c r="E46" s="1456" t="s">
        <v>464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5" ht="18" customHeight="1">
      <c r="A47" s="2087" t="s">
        <v>1135</v>
      </c>
      <c r="B47" s="2360"/>
      <c r="C47" s="1450"/>
      <c r="D47" s="1450"/>
      <c r="E47" s="153"/>
    </row>
    <row r="48" spans="1:5" ht="18" customHeight="1" thickBot="1">
      <c r="A48" s="2099" t="s">
        <v>480</v>
      </c>
      <c r="B48" s="2361" t="s">
        <v>464</v>
      </c>
      <c r="C48" s="1458">
        <f>SUM(C43,C36,C29,C22,C19,C12)</f>
        <v>29391295</v>
      </c>
      <c r="D48" s="1458">
        <f>SUM(D12+D19+D29+D36+D43)</f>
        <v>23927209</v>
      </c>
      <c r="E48" s="1459">
        <f>SUM(E12+E19+E29+E36+E43)</f>
        <v>53318504</v>
      </c>
    </row>
    <row r="49" spans="1:5" ht="18" customHeight="1">
      <c r="A49" s="2096" t="s">
        <v>556</v>
      </c>
      <c r="B49" s="79"/>
      <c r="C49" s="79"/>
      <c r="D49" s="79"/>
      <c r="E49" s="149"/>
    </row>
    <row r="50" spans="1:5" ht="18" customHeight="1">
      <c r="A50" s="2093" t="s">
        <v>1136</v>
      </c>
      <c r="B50" s="91" t="s">
        <v>464</v>
      </c>
      <c r="C50" s="79">
        <v>420000</v>
      </c>
      <c r="D50" s="91" t="s">
        <v>464</v>
      </c>
      <c r="E50" s="149">
        <f>SUM(C50:D50)</f>
        <v>420000</v>
      </c>
    </row>
    <row r="51" spans="1:5" ht="18" customHeight="1">
      <c r="A51" s="2096" t="s">
        <v>1137</v>
      </c>
      <c r="B51" s="84"/>
      <c r="C51" s="84"/>
      <c r="D51" s="84"/>
      <c r="E51" s="1460"/>
    </row>
    <row r="52" spans="1:5" ht="18" customHeight="1">
      <c r="A52" s="2093" t="s">
        <v>1138</v>
      </c>
      <c r="B52" s="91" t="s">
        <v>464</v>
      </c>
      <c r="C52" s="83">
        <v>445000</v>
      </c>
      <c r="D52" s="91" t="s">
        <v>464</v>
      </c>
      <c r="E52" s="149">
        <f>SUM(C52:D52)</f>
        <v>445000</v>
      </c>
    </row>
    <row r="53" spans="1:5" ht="18" customHeight="1">
      <c r="A53" s="2096" t="s">
        <v>1139</v>
      </c>
      <c r="B53" s="84"/>
      <c r="C53" s="84"/>
      <c r="D53" s="84"/>
      <c r="E53" s="1460"/>
    </row>
    <row r="54" spans="1:5" ht="18" customHeight="1">
      <c r="A54" s="2093" t="s">
        <v>1140</v>
      </c>
      <c r="B54" s="91" t="s">
        <v>464</v>
      </c>
      <c r="C54" s="79">
        <v>35190</v>
      </c>
      <c r="D54" s="91" t="s">
        <v>464</v>
      </c>
      <c r="E54" s="2362">
        <f>SUM(B54:D54)</f>
        <v>35190</v>
      </c>
    </row>
    <row r="55" spans="1:5" ht="18" customHeight="1">
      <c r="A55" s="2096" t="s">
        <v>1141</v>
      </c>
      <c r="B55" s="93"/>
      <c r="C55" s="93"/>
      <c r="D55" s="93"/>
      <c r="E55" s="152"/>
    </row>
    <row r="56" spans="1:256" ht="18" customHeight="1">
      <c r="A56" s="2093" t="s">
        <v>1142</v>
      </c>
      <c r="B56" s="91" t="s">
        <v>464</v>
      </c>
      <c r="C56" s="79">
        <v>23400</v>
      </c>
      <c r="D56" s="1816" t="s">
        <v>464</v>
      </c>
      <c r="E56" s="2362">
        <f>SUM(B56:D56)</f>
        <v>23400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8" customHeight="1">
      <c r="A57" s="2096" t="s">
        <v>1143</v>
      </c>
      <c r="B57" s="93"/>
      <c r="C57" s="93"/>
      <c r="D57" s="93"/>
      <c r="E57" s="15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8" customHeight="1">
      <c r="A58" s="2093" t="s">
        <v>1144</v>
      </c>
      <c r="B58" s="91" t="s">
        <v>464</v>
      </c>
      <c r="C58" s="79">
        <v>50</v>
      </c>
      <c r="D58" s="1816" t="s">
        <v>464</v>
      </c>
      <c r="E58" s="2362">
        <f>SUM(B58:D58)</f>
        <v>50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8" customHeight="1">
      <c r="A59" s="2096" t="s">
        <v>557</v>
      </c>
      <c r="B59" s="93"/>
      <c r="C59" s="93"/>
      <c r="D59" s="93"/>
      <c r="E59" s="15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8" customHeight="1" thickBot="1">
      <c r="A60" s="2099" t="s">
        <v>1145</v>
      </c>
      <c r="B60" s="1458" t="s">
        <v>464</v>
      </c>
      <c r="C60" s="2793" t="s">
        <v>464</v>
      </c>
      <c r="D60" s="1458" t="s">
        <v>464</v>
      </c>
      <c r="E60" s="1464" t="s">
        <v>464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</sheetData>
  <sheetProtection/>
  <printOptions/>
  <pageMargins left="0.984251968503937" right="0.984251968503937" top="0.41" bottom="0.984251968503937" header="0.5118110236220472" footer="0.5118110236220472"/>
  <pageSetup horizontalDpi="300" verticalDpi="3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U120"/>
  <sheetViews>
    <sheetView zoomScale="41" zoomScaleNormal="41" zoomScaleSheetLayoutView="50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7" sqref="P17"/>
    </sheetView>
  </sheetViews>
  <sheetFormatPr defaultColWidth="9.7109375" defaultRowHeight="12.75"/>
  <cols>
    <col min="1" max="1" width="62.28125" style="1761" customWidth="1"/>
    <col min="2" max="2" width="30.8515625" style="11" customWidth="1"/>
    <col min="3" max="3" width="26.00390625" style="11" customWidth="1"/>
    <col min="4" max="4" width="26.140625" style="11" customWidth="1"/>
    <col min="5" max="5" width="31.140625" style="11" customWidth="1"/>
    <col min="6" max="6" width="36.421875" style="11" customWidth="1"/>
    <col min="7" max="7" width="36.00390625" style="11" customWidth="1"/>
    <col min="8" max="8" width="23.28125" style="11" customWidth="1"/>
    <col min="9" max="12" width="24.00390625" style="11" customWidth="1"/>
    <col min="13" max="13" width="31.421875" style="446" customWidth="1"/>
    <col min="14" max="14" width="22.8515625" style="11" hidden="1" customWidth="1"/>
    <col min="15" max="15" width="22.8515625" style="11" customWidth="1"/>
    <col min="16" max="16" width="18.421875" style="11" customWidth="1"/>
    <col min="17" max="20" width="18.140625" style="11" customWidth="1"/>
    <col min="21" max="16384" width="9.7109375" style="11" customWidth="1"/>
  </cols>
  <sheetData>
    <row r="1" spans="1:14" ht="29.25" customHeight="1">
      <c r="A1" s="1754" t="s">
        <v>1146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466" t="s">
        <v>936</v>
      </c>
      <c r="N1" s="59"/>
    </row>
    <row r="2" spans="1:14" ht="26.25" customHeight="1" thickBot="1">
      <c r="A2" s="1754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466"/>
      <c r="N2" s="59"/>
    </row>
    <row r="3" spans="1:14" ht="48.75" customHeight="1" thickBot="1" thickTop="1">
      <c r="A3" s="2476" t="s">
        <v>558</v>
      </c>
      <c r="B3" s="2369" t="s">
        <v>1418</v>
      </c>
      <c r="C3" s="2370" t="s">
        <v>1653</v>
      </c>
      <c r="D3" s="2371" t="s">
        <v>1419</v>
      </c>
      <c r="E3" s="2371" t="s">
        <v>1420</v>
      </c>
      <c r="F3" s="2371" t="s">
        <v>1647</v>
      </c>
      <c r="G3" s="2371" t="s">
        <v>163</v>
      </c>
      <c r="H3" s="2371" t="s">
        <v>1421</v>
      </c>
      <c r="I3" s="2372" t="s">
        <v>1648</v>
      </c>
      <c r="J3" s="2374" t="s">
        <v>228</v>
      </c>
      <c r="K3" s="2374" t="s">
        <v>229</v>
      </c>
      <c r="L3" s="2374" t="s">
        <v>230</v>
      </c>
      <c r="M3" s="2477" t="s">
        <v>476</v>
      </c>
      <c r="N3" s="445" t="s">
        <v>1147</v>
      </c>
    </row>
    <row r="4" spans="1:14" ht="59.25" customHeight="1" thickBot="1" thickTop="1">
      <c r="A4" s="2363" t="s">
        <v>156</v>
      </c>
      <c r="B4" s="2481">
        <v>5057959</v>
      </c>
      <c r="C4" s="2478">
        <v>103536</v>
      </c>
      <c r="D4" s="2479">
        <v>602337</v>
      </c>
      <c r="E4" s="2479">
        <v>655795</v>
      </c>
      <c r="F4" s="2478">
        <v>1361793</v>
      </c>
      <c r="G4" s="2479">
        <v>19554</v>
      </c>
      <c r="H4" s="2478">
        <v>6016397</v>
      </c>
      <c r="I4" s="2478">
        <v>6864358</v>
      </c>
      <c r="J4" s="2480">
        <v>39628</v>
      </c>
      <c r="K4" s="2480">
        <v>244169</v>
      </c>
      <c r="L4" s="2480"/>
      <c r="M4" s="2376">
        <f>SUM(B4:L4)</f>
        <v>20965526</v>
      </c>
      <c r="N4" s="339"/>
    </row>
    <row r="5" spans="1:14" ht="59.25" customHeight="1" thickBot="1">
      <c r="A5" s="2363" t="s">
        <v>157</v>
      </c>
      <c r="B5" s="2373">
        <v>672529</v>
      </c>
      <c r="C5" s="2100" t="s">
        <v>464</v>
      </c>
      <c r="D5" s="2100" t="s">
        <v>464</v>
      </c>
      <c r="E5" s="2100" t="s">
        <v>464</v>
      </c>
      <c r="F5" s="2100" t="s">
        <v>464</v>
      </c>
      <c r="G5" s="2100" t="s">
        <v>464</v>
      </c>
      <c r="H5" s="2100">
        <v>776769</v>
      </c>
      <c r="I5" s="2100">
        <v>118534</v>
      </c>
      <c r="J5" s="2364"/>
      <c r="K5" s="2364"/>
      <c r="L5" s="2364"/>
      <c r="M5" s="2103">
        <f>SUM(B5:I5)</f>
        <v>1567832</v>
      </c>
      <c r="N5" s="105"/>
    </row>
    <row r="6" spans="1:16" ht="59.25" customHeight="1" thickBot="1">
      <c r="A6" s="2363" t="s">
        <v>158</v>
      </c>
      <c r="B6" s="2482">
        <v>3406117</v>
      </c>
      <c r="C6" s="2100" t="s">
        <v>464</v>
      </c>
      <c r="D6" s="2100" t="s">
        <v>464</v>
      </c>
      <c r="E6" s="2100" t="s">
        <v>464</v>
      </c>
      <c r="F6" s="2100" t="s">
        <v>464</v>
      </c>
      <c r="G6" s="2100" t="s">
        <v>464</v>
      </c>
      <c r="H6" s="2100" t="s">
        <v>464</v>
      </c>
      <c r="I6" s="2100" t="s">
        <v>464</v>
      </c>
      <c r="J6" s="2364"/>
      <c r="K6" s="2364"/>
      <c r="L6" s="2364">
        <v>22770</v>
      </c>
      <c r="M6" s="2103">
        <f>SUM(B6:L6)</f>
        <v>3428887</v>
      </c>
      <c r="N6" s="88"/>
      <c r="P6" s="1911"/>
    </row>
    <row r="7" spans="1:16" ht="75" customHeight="1" thickBot="1" thickTop="1">
      <c r="A7" s="2474" t="s">
        <v>159</v>
      </c>
      <c r="B7" s="2483">
        <v>15608003</v>
      </c>
      <c r="C7" s="2484" t="s">
        <v>464</v>
      </c>
      <c r="D7" s="2484" t="s">
        <v>464</v>
      </c>
      <c r="E7" s="2484" t="s">
        <v>464</v>
      </c>
      <c r="F7" s="2484" t="s">
        <v>464</v>
      </c>
      <c r="G7" s="2484" t="s">
        <v>464</v>
      </c>
      <c r="H7" s="2484" t="s">
        <v>464</v>
      </c>
      <c r="I7" s="2484" t="s">
        <v>464</v>
      </c>
      <c r="J7" s="2485"/>
      <c r="K7" s="2485"/>
      <c r="L7" s="2485"/>
      <c r="M7" s="2375">
        <f>SUM(B7:I7)</f>
        <v>15608003</v>
      </c>
      <c r="N7" s="104"/>
      <c r="P7" s="1857"/>
    </row>
    <row r="8" spans="1:16" ht="29.25" customHeight="1" thickBot="1">
      <c r="A8" s="2365"/>
      <c r="B8" s="2366"/>
      <c r="C8" s="2366"/>
      <c r="D8" s="2366"/>
      <c r="E8" s="2366"/>
      <c r="F8" s="2366"/>
      <c r="G8" s="2366"/>
      <c r="H8" s="2366"/>
      <c r="I8" s="2366"/>
      <c r="J8" s="2366"/>
      <c r="K8" s="2366"/>
      <c r="L8" s="2366"/>
      <c r="M8" s="2486"/>
      <c r="N8" s="106"/>
      <c r="P8" s="1857"/>
    </row>
    <row r="9" spans="1:16" ht="59.25" customHeight="1" thickBot="1">
      <c r="A9" s="2363" t="s">
        <v>560</v>
      </c>
      <c r="B9" s="2481" t="s">
        <v>464</v>
      </c>
      <c r="C9" s="2478" t="s">
        <v>464</v>
      </c>
      <c r="D9" s="2478">
        <v>394099</v>
      </c>
      <c r="E9" s="2478">
        <v>551865</v>
      </c>
      <c r="F9" s="2478">
        <v>51431</v>
      </c>
      <c r="G9" s="2478" t="s">
        <v>464</v>
      </c>
      <c r="H9" s="2478">
        <v>252228</v>
      </c>
      <c r="I9" s="2478" t="s">
        <v>464</v>
      </c>
      <c r="J9" s="2480">
        <v>7952</v>
      </c>
      <c r="K9" s="2480"/>
      <c r="L9" s="2480"/>
      <c r="M9" s="2376">
        <f>SUM(B9:L9)</f>
        <v>1257575</v>
      </c>
      <c r="N9" s="105"/>
      <c r="P9" s="1857"/>
    </row>
    <row r="10" spans="1:16" ht="59.25" customHeight="1" thickBot="1">
      <c r="A10" s="2363" t="s">
        <v>1299</v>
      </c>
      <c r="B10" s="2487" t="s">
        <v>464</v>
      </c>
      <c r="C10" s="2100" t="s">
        <v>464</v>
      </c>
      <c r="D10" s="2102" t="s">
        <v>464</v>
      </c>
      <c r="E10" s="2102">
        <v>383314</v>
      </c>
      <c r="F10" s="2102" t="s">
        <v>464</v>
      </c>
      <c r="G10" s="2100" t="s">
        <v>464</v>
      </c>
      <c r="H10" s="2100" t="s">
        <v>464</v>
      </c>
      <c r="I10" s="2100" t="s">
        <v>464</v>
      </c>
      <c r="J10" s="2364"/>
      <c r="K10" s="2364"/>
      <c r="L10" s="2364"/>
      <c r="M10" s="2376">
        <f>SUM(B10:L10)</f>
        <v>383314</v>
      </c>
      <c r="N10" s="88"/>
      <c r="P10" s="1911"/>
    </row>
    <row r="11" spans="1:16" ht="59.25" customHeight="1" thickBot="1" thickTop="1">
      <c r="A11" s="2363" t="s">
        <v>1533</v>
      </c>
      <c r="B11" s="2475">
        <v>142500</v>
      </c>
      <c r="C11" s="2100" t="s">
        <v>464</v>
      </c>
      <c r="D11" s="2102" t="s">
        <v>464</v>
      </c>
      <c r="E11" s="2102" t="s">
        <v>464</v>
      </c>
      <c r="F11" s="2102" t="s">
        <v>464</v>
      </c>
      <c r="G11" s="2100" t="s">
        <v>464</v>
      </c>
      <c r="H11" s="2100" t="s">
        <v>464</v>
      </c>
      <c r="I11" s="2100" t="s">
        <v>464</v>
      </c>
      <c r="J11" s="2364"/>
      <c r="K11" s="2364"/>
      <c r="L11" s="2364"/>
      <c r="M11" s="2376">
        <f>SUM(B11:L11)</f>
        <v>142500</v>
      </c>
      <c r="N11" s="104"/>
      <c r="P11" s="1857"/>
    </row>
    <row r="12" spans="1:16" ht="75" customHeight="1" thickBot="1">
      <c r="A12" s="2474" t="s">
        <v>160</v>
      </c>
      <c r="B12" s="2483">
        <v>286630</v>
      </c>
      <c r="C12" s="2484" t="s">
        <v>464</v>
      </c>
      <c r="D12" s="2488" t="s">
        <v>464</v>
      </c>
      <c r="E12" s="2488" t="s">
        <v>464</v>
      </c>
      <c r="F12" s="2488" t="s">
        <v>464</v>
      </c>
      <c r="G12" s="2484" t="s">
        <v>464</v>
      </c>
      <c r="H12" s="2484" t="s">
        <v>464</v>
      </c>
      <c r="I12" s="2484" t="s">
        <v>464</v>
      </c>
      <c r="J12" s="2485"/>
      <c r="K12" s="2485"/>
      <c r="L12" s="2485"/>
      <c r="M12" s="1693">
        <f>SUM(B12:L12)</f>
        <v>286630</v>
      </c>
      <c r="N12" s="106"/>
      <c r="P12" s="1857"/>
    </row>
    <row r="13" spans="1:16" ht="29.25" customHeight="1" thickBot="1">
      <c r="A13" s="2365"/>
      <c r="B13" s="2366"/>
      <c r="C13" s="2366"/>
      <c r="D13" s="2367"/>
      <c r="E13" s="2367"/>
      <c r="F13" s="2366"/>
      <c r="G13" s="2366"/>
      <c r="H13" s="2366"/>
      <c r="I13" s="2366"/>
      <c r="J13" s="2366"/>
      <c r="K13" s="2366"/>
      <c r="L13" s="2366"/>
      <c r="M13" s="2486"/>
      <c r="N13" s="106"/>
      <c r="P13" s="1857"/>
    </row>
    <row r="14" spans="1:16" ht="59.25" customHeight="1" thickBot="1">
      <c r="A14" s="1755" t="s">
        <v>1300</v>
      </c>
      <c r="B14" s="2489">
        <v>185651</v>
      </c>
      <c r="C14" s="2478" t="s">
        <v>464</v>
      </c>
      <c r="D14" s="2478">
        <v>371544</v>
      </c>
      <c r="E14" s="2478">
        <v>149109</v>
      </c>
      <c r="F14" s="2478">
        <v>7582</v>
      </c>
      <c r="G14" s="2478" t="s">
        <v>464</v>
      </c>
      <c r="H14" s="2478" t="s">
        <v>464</v>
      </c>
      <c r="I14" s="2478" t="s">
        <v>464</v>
      </c>
      <c r="J14" s="2480">
        <v>6708</v>
      </c>
      <c r="K14" s="2480"/>
      <c r="L14" s="2480"/>
      <c r="M14" s="2376">
        <f>SUM(B14:L14)</f>
        <v>720594</v>
      </c>
      <c r="N14" s="105"/>
      <c r="P14" s="1857"/>
    </row>
    <row r="15" spans="1:16" ht="59.25" customHeight="1" thickTop="1">
      <c r="A15" s="1757" t="s">
        <v>1506</v>
      </c>
      <c r="B15" s="2482"/>
      <c r="C15" s="2102" t="s">
        <v>464</v>
      </c>
      <c r="D15" s="2102" t="s">
        <v>464</v>
      </c>
      <c r="E15" s="2102" t="s">
        <v>464</v>
      </c>
      <c r="F15" s="2100" t="s">
        <v>464</v>
      </c>
      <c r="G15" s="2100" t="s">
        <v>464</v>
      </c>
      <c r="H15" s="2100" t="s">
        <v>464</v>
      </c>
      <c r="I15" s="2100" t="s">
        <v>464</v>
      </c>
      <c r="J15" s="2364"/>
      <c r="K15" s="2364"/>
      <c r="L15" s="2364"/>
      <c r="M15" s="2376">
        <f>SUM(B15:L15)</f>
        <v>0</v>
      </c>
      <c r="N15" s="341"/>
      <c r="P15" s="1911"/>
    </row>
    <row r="16" spans="1:16" ht="59.25" customHeight="1" thickBot="1">
      <c r="A16" s="1756" t="s">
        <v>1654</v>
      </c>
      <c r="B16" s="2490">
        <v>17536</v>
      </c>
      <c r="C16" s="2488" t="s">
        <v>464</v>
      </c>
      <c r="D16" s="2488" t="s">
        <v>464</v>
      </c>
      <c r="E16" s="2488" t="s">
        <v>464</v>
      </c>
      <c r="F16" s="2484" t="s">
        <v>464</v>
      </c>
      <c r="G16" s="2484" t="s">
        <v>464</v>
      </c>
      <c r="H16" s="2484" t="s">
        <v>464</v>
      </c>
      <c r="I16" s="2484" t="s">
        <v>464</v>
      </c>
      <c r="J16" s="2485"/>
      <c r="K16" s="2485"/>
      <c r="L16" s="2485"/>
      <c r="M16" s="2377">
        <f>SUM(B16:L16)</f>
        <v>17536</v>
      </c>
      <c r="N16" s="86"/>
      <c r="P16" s="1911"/>
    </row>
    <row r="17" spans="1:14" ht="62.25" customHeight="1" thickBot="1" thickTop="1">
      <c r="A17" s="2473" t="s">
        <v>231</v>
      </c>
      <c r="B17" s="2490">
        <v>2034397</v>
      </c>
      <c r="C17" s="2488" t="s">
        <v>464</v>
      </c>
      <c r="D17" s="2488" t="s">
        <v>464</v>
      </c>
      <c r="E17" s="2488" t="s">
        <v>464</v>
      </c>
      <c r="F17" s="2484" t="s">
        <v>464</v>
      </c>
      <c r="G17" s="2484" t="s">
        <v>464</v>
      </c>
      <c r="H17" s="2484" t="s">
        <v>464</v>
      </c>
      <c r="I17" s="2484" t="s">
        <v>464</v>
      </c>
      <c r="J17" s="2485"/>
      <c r="K17" s="2485"/>
      <c r="L17" s="2485"/>
      <c r="M17" s="2377">
        <f>SUM(B17:L17)</f>
        <v>2034397</v>
      </c>
      <c r="N17" s="104"/>
    </row>
    <row r="18" spans="1:14" ht="29.25" customHeight="1" thickBot="1">
      <c r="A18" s="2365"/>
      <c r="B18" s="2367"/>
      <c r="C18" s="2366"/>
      <c r="D18" s="2367"/>
      <c r="E18" s="2367"/>
      <c r="F18" s="2367"/>
      <c r="G18" s="2367"/>
      <c r="H18" s="2367"/>
      <c r="I18" s="2366"/>
      <c r="J18" s="2366"/>
      <c r="K18" s="2366"/>
      <c r="L18" s="2366"/>
      <c r="M18" s="2486"/>
      <c r="N18" s="106"/>
    </row>
    <row r="19" spans="1:14" ht="59.25" customHeight="1" thickBot="1">
      <c r="A19" s="1755" t="s">
        <v>1148</v>
      </c>
      <c r="B19" s="2481">
        <v>89663</v>
      </c>
      <c r="C19" s="2478" t="s">
        <v>464</v>
      </c>
      <c r="D19" s="2478">
        <v>6265</v>
      </c>
      <c r="E19" s="2478">
        <v>118747</v>
      </c>
      <c r="F19" s="2478" t="s">
        <v>464</v>
      </c>
      <c r="G19" s="2478" t="s">
        <v>464</v>
      </c>
      <c r="H19" s="2478">
        <v>51944</v>
      </c>
      <c r="I19" s="2478">
        <v>19975</v>
      </c>
      <c r="J19" s="2480">
        <v>4801</v>
      </c>
      <c r="K19" s="2480"/>
      <c r="L19" s="2480"/>
      <c r="M19" s="2376">
        <f>SUM(B19:L19)</f>
        <v>291395</v>
      </c>
      <c r="N19" s="106"/>
    </row>
    <row r="20" spans="1:14" ht="59.25" customHeight="1" thickBot="1">
      <c r="A20" s="1757" t="s">
        <v>1534</v>
      </c>
      <c r="B20" s="2373"/>
      <c r="C20" s="2100" t="s">
        <v>464</v>
      </c>
      <c r="D20" s="2100" t="s">
        <v>464</v>
      </c>
      <c r="E20" s="2100" t="s">
        <v>464</v>
      </c>
      <c r="F20" s="2100" t="s">
        <v>464</v>
      </c>
      <c r="G20" s="2100" t="s">
        <v>464</v>
      </c>
      <c r="H20" s="2100" t="s">
        <v>464</v>
      </c>
      <c r="I20" s="2100" t="s">
        <v>464</v>
      </c>
      <c r="J20" s="2364"/>
      <c r="K20" s="2364"/>
      <c r="L20" s="2364"/>
      <c r="M20" s="2376">
        <f>SUM(B20:L20)</f>
        <v>0</v>
      </c>
      <c r="N20" s="106"/>
    </row>
    <row r="21" spans="1:14" ht="48.75" customHeight="1" thickBot="1">
      <c r="A21" s="1757" t="s">
        <v>1655</v>
      </c>
      <c r="B21" s="2373">
        <v>488837</v>
      </c>
      <c r="C21" s="2100" t="s">
        <v>464</v>
      </c>
      <c r="D21" s="2100" t="s">
        <v>464</v>
      </c>
      <c r="E21" s="2100" t="s">
        <v>464</v>
      </c>
      <c r="F21" s="2100" t="s">
        <v>464</v>
      </c>
      <c r="G21" s="2100" t="s">
        <v>464</v>
      </c>
      <c r="H21" s="2100" t="s">
        <v>464</v>
      </c>
      <c r="I21" s="2100" t="s">
        <v>464</v>
      </c>
      <c r="J21" s="2364"/>
      <c r="K21" s="2364"/>
      <c r="L21" s="2364"/>
      <c r="M21" s="2376">
        <f>SUM(B21:L21)</f>
        <v>488837</v>
      </c>
      <c r="N21" s="105"/>
    </row>
    <row r="22" spans="1:18" ht="75" customHeight="1" thickBot="1" thickTop="1">
      <c r="A22" s="2473" t="s">
        <v>161</v>
      </c>
      <c r="B22" s="2491">
        <v>1181450</v>
      </c>
      <c r="C22" s="2484" t="s">
        <v>464</v>
      </c>
      <c r="D22" s="2484" t="s">
        <v>464</v>
      </c>
      <c r="E22" s="2484" t="s">
        <v>464</v>
      </c>
      <c r="F22" s="2484" t="s">
        <v>464</v>
      </c>
      <c r="G22" s="2484" t="s">
        <v>464</v>
      </c>
      <c r="H22" s="2484" t="s">
        <v>464</v>
      </c>
      <c r="I22" s="2484" t="s">
        <v>464</v>
      </c>
      <c r="J22" s="2485"/>
      <c r="K22" s="2485"/>
      <c r="L22" s="2485"/>
      <c r="M22" s="1693">
        <f>SUM(B22:L22)</f>
        <v>1181450</v>
      </c>
      <c r="N22" s="88"/>
      <c r="P22" s="1911"/>
      <c r="Q22" s="1857"/>
      <c r="R22" s="1857"/>
    </row>
    <row r="23" spans="1:18" ht="29.25" customHeight="1" thickBot="1">
      <c r="A23" s="2365"/>
      <c r="B23" s="2368"/>
      <c r="C23" s="2368"/>
      <c r="D23" s="2368"/>
      <c r="E23" s="2368"/>
      <c r="F23" s="2368"/>
      <c r="G23" s="2368"/>
      <c r="H23" s="2368"/>
      <c r="I23" s="2368"/>
      <c r="J23" s="2368"/>
      <c r="K23" s="2368"/>
      <c r="L23" s="2368"/>
      <c r="M23" s="2486"/>
      <c r="N23" s="88"/>
      <c r="P23" s="1911"/>
      <c r="Q23" s="1857"/>
      <c r="R23" s="1857"/>
    </row>
    <row r="24" spans="1:18" ht="59.25" customHeight="1" thickBot="1">
      <c r="A24" s="1755" t="s">
        <v>559</v>
      </c>
      <c r="B24" s="2481" t="s">
        <v>464</v>
      </c>
      <c r="C24" s="2479">
        <v>879086</v>
      </c>
      <c r="D24" s="2479"/>
      <c r="E24" s="2492" t="s">
        <v>464</v>
      </c>
      <c r="F24" s="2492" t="s">
        <v>464</v>
      </c>
      <c r="G24" s="2492" t="s">
        <v>464</v>
      </c>
      <c r="H24" s="2492" t="s">
        <v>464</v>
      </c>
      <c r="I24" s="2492" t="s">
        <v>464</v>
      </c>
      <c r="J24" s="2493"/>
      <c r="K24" s="2493"/>
      <c r="L24" s="2493"/>
      <c r="M24" s="2376">
        <f>SUM(B24:I24)</f>
        <v>879086</v>
      </c>
      <c r="N24" s="88"/>
      <c r="P24" s="1857"/>
      <c r="Q24" s="1857"/>
      <c r="R24" s="1857"/>
    </row>
    <row r="25" spans="1:18" ht="59.25" customHeight="1" thickBot="1" thickTop="1">
      <c r="A25" s="1757" t="s">
        <v>1535</v>
      </c>
      <c r="B25" s="2475" t="s">
        <v>464</v>
      </c>
      <c r="C25" s="2101"/>
      <c r="D25" s="2100" t="s">
        <v>464</v>
      </c>
      <c r="E25" s="2102" t="s">
        <v>464</v>
      </c>
      <c r="F25" s="2102" t="s">
        <v>464</v>
      </c>
      <c r="G25" s="2102" t="s">
        <v>464</v>
      </c>
      <c r="H25" s="2102" t="s">
        <v>464</v>
      </c>
      <c r="I25" s="2102" t="s">
        <v>464</v>
      </c>
      <c r="J25" s="2378"/>
      <c r="K25" s="2378"/>
      <c r="L25" s="2378"/>
      <c r="M25" s="2376">
        <f>SUM(B25:I25)</f>
        <v>0</v>
      </c>
      <c r="N25" s="340"/>
      <c r="P25" s="1857"/>
      <c r="Q25" s="1857"/>
      <c r="R25" s="1857"/>
    </row>
    <row r="26" spans="1:18" ht="59.25" customHeight="1" thickTop="1">
      <c r="A26" s="1757" t="s">
        <v>1656</v>
      </c>
      <c r="B26" s="2373">
        <v>287490</v>
      </c>
      <c r="C26" s="2100" t="s">
        <v>464</v>
      </c>
      <c r="D26" s="2100" t="s">
        <v>464</v>
      </c>
      <c r="E26" s="2102" t="s">
        <v>464</v>
      </c>
      <c r="F26" s="2102" t="s">
        <v>464</v>
      </c>
      <c r="G26" s="2102" t="s">
        <v>464</v>
      </c>
      <c r="H26" s="2102" t="s">
        <v>464</v>
      </c>
      <c r="I26" s="2102" t="s">
        <v>464</v>
      </c>
      <c r="J26" s="2378"/>
      <c r="K26" s="2378"/>
      <c r="L26" s="2378"/>
      <c r="M26" s="2376">
        <f>SUM(B26:I26)</f>
        <v>287490</v>
      </c>
      <c r="N26" s="86"/>
      <c r="P26" s="1911"/>
      <c r="Q26" s="1857"/>
      <c r="R26" s="1857"/>
    </row>
    <row r="27" spans="1:18" ht="75" customHeight="1" thickBot="1">
      <c r="A27" s="2473" t="s">
        <v>162</v>
      </c>
      <c r="B27" s="2490">
        <v>3777452</v>
      </c>
      <c r="C27" s="2484" t="s">
        <v>464</v>
      </c>
      <c r="D27" s="2484" t="s">
        <v>464</v>
      </c>
      <c r="E27" s="2488" t="s">
        <v>464</v>
      </c>
      <c r="F27" s="2488" t="s">
        <v>464</v>
      </c>
      <c r="G27" s="2488" t="s">
        <v>464</v>
      </c>
      <c r="H27" s="2488" t="s">
        <v>464</v>
      </c>
      <c r="I27" s="2488" t="s">
        <v>464</v>
      </c>
      <c r="J27" s="2494"/>
      <c r="K27" s="2494"/>
      <c r="L27" s="2494"/>
      <c r="M27" s="2377">
        <f>SUM(B27:I27)</f>
        <v>3777452</v>
      </c>
      <c r="N27" s="86"/>
      <c r="P27" s="1911"/>
      <c r="Q27" s="1857"/>
      <c r="R27" s="1857"/>
    </row>
    <row r="28" spans="1:14" ht="75" customHeight="1" thickBot="1" thickTop="1">
      <c r="A28" s="1758" t="s">
        <v>476</v>
      </c>
      <c r="B28" s="2161">
        <f>SUM(B4:B27)</f>
        <v>33236214</v>
      </c>
      <c r="C28" s="2161">
        <f aca="true" t="shared" si="0" ref="C28:L28">SUM(C4:C27)</f>
        <v>982622</v>
      </c>
      <c r="D28" s="2161">
        <f t="shared" si="0"/>
        <v>1374245</v>
      </c>
      <c r="E28" s="2161">
        <f t="shared" si="0"/>
        <v>1858830</v>
      </c>
      <c r="F28" s="2161">
        <f t="shared" si="0"/>
        <v>1420806</v>
      </c>
      <c r="G28" s="2161">
        <f t="shared" si="0"/>
        <v>19554</v>
      </c>
      <c r="H28" s="2161">
        <f t="shared" si="0"/>
        <v>7097338</v>
      </c>
      <c r="I28" s="2161">
        <f t="shared" si="0"/>
        <v>7002867</v>
      </c>
      <c r="J28" s="2161">
        <f t="shared" si="0"/>
        <v>59089</v>
      </c>
      <c r="K28" s="2161">
        <f t="shared" si="0"/>
        <v>244169</v>
      </c>
      <c r="L28" s="2161">
        <f t="shared" si="0"/>
        <v>22770</v>
      </c>
      <c r="M28" s="1693">
        <f>SUM(M4:M27)</f>
        <v>53318504</v>
      </c>
      <c r="N28" s="107">
        <f>SUM(N4:N26)</f>
        <v>0</v>
      </c>
    </row>
    <row r="29" spans="1:14" ht="29.25" customHeight="1">
      <c r="A29" s="1759"/>
      <c r="B29" s="732"/>
      <c r="C29" s="732"/>
      <c r="D29" s="732"/>
      <c r="E29" s="732"/>
      <c r="F29" s="732"/>
      <c r="G29" s="732"/>
      <c r="H29" s="732"/>
      <c r="I29" s="732"/>
      <c r="J29" s="732"/>
      <c r="K29" s="732"/>
      <c r="L29" s="732"/>
      <c r="M29" s="732"/>
      <c r="N29" s="732"/>
    </row>
    <row r="30" spans="1:14" ht="29.25" customHeight="1">
      <c r="A30" s="1759"/>
      <c r="B30" s="732"/>
      <c r="C30" s="732"/>
      <c r="D30" s="732"/>
      <c r="E30" s="732"/>
      <c r="F30" s="732"/>
      <c r="G30" s="732"/>
      <c r="H30" s="732"/>
      <c r="I30" s="732"/>
      <c r="J30" s="732"/>
      <c r="K30" s="732"/>
      <c r="L30" s="732"/>
      <c r="M30" s="732"/>
      <c r="N30" s="732"/>
    </row>
    <row r="31" spans="1:14" ht="29.25" customHeight="1">
      <c r="A31" s="1759"/>
      <c r="B31" s="732"/>
      <c r="C31" s="732"/>
      <c r="D31" s="732"/>
      <c r="E31" s="732"/>
      <c r="F31" s="732"/>
      <c r="G31" s="732"/>
      <c r="H31" s="732"/>
      <c r="I31" s="732"/>
      <c r="J31" s="732"/>
      <c r="K31" s="732"/>
      <c r="L31" s="732"/>
      <c r="M31" s="732"/>
      <c r="N31" s="732"/>
    </row>
    <row r="32" spans="1:15" ht="23.25" customHeight="1">
      <c r="A32" s="1760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4"/>
      <c r="N32" s="59"/>
      <c r="O32" s="59"/>
    </row>
    <row r="33" spans="7:15" ht="29.25" customHeight="1">
      <c r="G33" s="59"/>
      <c r="H33" s="59"/>
      <c r="I33" s="59"/>
      <c r="J33" s="59"/>
      <c r="K33" s="59"/>
      <c r="L33" s="59"/>
      <c r="M33" s="54"/>
      <c r="N33" s="59"/>
      <c r="O33" s="59"/>
    </row>
    <row r="34" spans="7:15" ht="23.25" customHeight="1">
      <c r="G34" s="59"/>
      <c r="H34" s="59"/>
      <c r="I34" s="59"/>
      <c r="J34" s="59"/>
      <c r="K34" s="59"/>
      <c r="L34" s="59"/>
      <c r="M34" s="54"/>
      <c r="N34" s="59"/>
      <c r="O34" s="59"/>
    </row>
    <row r="35" spans="7:15" ht="47.25" customHeight="1">
      <c r="G35" s="1467"/>
      <c r="H35" s="1467"/>
      <c r="I35" s="1467"/>
      <c r="J35" s="1467"/>
      <c r="K35" s="1467"/>
      <c r="L35" s="1467"/>
      <c r="M35" s="54"/>
      <c r="N35" s="59"/>
      <c r="O35" s="59"/>
    </row>
    <row r="36" spans="7:15" ht="29.25" customHeight="1">
      <c r="G36" s="1468"/>
      <c r="H36" s="1468"/>
      <c r="I36" s="1468"/>
      <c r="J36" s="1468"/>
      <c r="K36" s="1468"/>
      <c r="L36" s="1468"/>
      <c r="M36" s="54"/>
      <c r="N36" s="59"/>
      <c r="O36" s="59"/>
    </row>
    <row r="37" spans="13:15" ht="29.25" customHeight="1">
      <c r="M37" s="54"/>
      <c r="N37" s="59"/>
      <c r="O37" s="59"/>
    </row>
    <row r="38" spans="13:15" ht="29.25" customHeight="1">
      <c r="M38" s="54"/>
      <c r="N38" s="59"/>
      <c r="O38" s="59"/>
    </row>
    <row r="39" spans="13:15" ht="29.25" customHeight="1">
      <c r="M39" s="54"/>
      <c r="N39" s="59"/>
      <c r="O39" s="59"/>
    </row>
    <row r="40" spans="13:15" ht="29.25" customHeight="1">
      <c r="M40" s="54"/>
      <c r="N40" s="59"/>
      <c r="O40" s="59"/>
    </row>
    <row r="41" spans="13:15" ht="29.25" customHeight="1">
      <c r="M41" s="54"/>
      <c r="N41" s="59"/>
      <c r="O41" s="59"/>
    </row>
    <row r="42" spans="13:15" ht="29.25" customHeight="1" hidden="1">
      <c r="M42" s="54"/>
      <c r="N42" s="59"/>
      <c r="O42" s="59"/>
    </row>
    <row r="43" spans="13:15" ht="29.25" customHeight="1" hidden="1">
      <c r="M43" s="54"/>
      <c r="N43" s="59"/>
      <c r="O43" s="59"/>
    </row>
    <row r="44" spans="13:15" ht="29.25" customHeight="1">
      <c r="M44" s="54"/>
      <c r="N44" s="59"/>
      <c r="O44" s="59"/>
    </row>
    <row r="45" spans="13:15" ht="29.25" customHeight="1" hidden="1">
      <c r="M45" s="54"/>
      <c r="N45" s="59"/>
      <c r="O45" s="59"/>
    </row>
    <row r="46" spans="13:15" ht="29.25" customHeight="1">
      <c r="M46" s="54"/>
      <c r="N46" s="59"/>
      <c r="O46" s="59"/>
    </row>
    <row r="47" spans="13:255" ht="29.25" customHeight="1">
      <c r="M47" s="54"/>
      <c r="N47" s="59"/>
      <c r="O47" s="59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6"/>
      <c r="AL47" s="446"/>
      <c r="AM47" s="446"/>
      <c r="AN47" s="446"/>
      <c r="AO47" s="446"/>
      <c r="AP47" s="446"/>
      <c r="AQ47" s="446"/>
      <c r="AR47" s="446"/>
      <c r="AS47" s="446"/>
      <c r="AT47" s="446"/>
      <c r="AU47" s="446"/>
      <c r="AV47" s="446"/>
      <c r="AW47" s="446"/>
      <c r="AX47" s="446"/>
      <c r="AY47" s="446"/>
      <c r="AZ47" s="446"/>
      <c r="BA47" s="446"/>
      <c r="BB47" s="446"/>
      <c r="BC47" s="446"/>
      <c r="BD47" s="446"/>
      <c r="BE47" s="446"/>
      <c r="BF47" s="446"/>
      <c r="BG47" s="446"/>
      <c r="BH47" s="446"/>
      <c r="BI47" s="446"/>
      <c r="BJ47" s="446"/>
      <c r="BK47" s="446"/>
      <c r="BL47" s="446"/>
      <c r="BM47" s="446"/>
      <c r="BN47" s="446"/>
      <c r="BO47" s="446"/>
      <c r="BP47" s="446"/>
      <c r="BQ47" s="446"/>
      <c r="BR47" s="446"/>
      <c r="BS47" s="446"/>
      <c r="BT47" s="446"/>
      <c r="BU47" s="446"/>
      <c r="BV47" s="446"/>
      <c r="BW47" s="446"/>
      <c r="BX47" s="446"/>
      <c r="BY47" s="446"/>
      <c r="BZ47" s="446"/>
      <c r="CA47" s="446"/>
      <c r="CB47" s="446"/>
      <c r="CC47" s="446"/>
      <c r="CD47" s="446"/>
      <c r="CE47" s="446"/>
      <c r="CF47" s="446"/>
      <c r="CG47" s="446"/>
      <c r="CH47" s="446"/>
      <c r="CI47" s="446"/>
      <c r="CJ47" s="446"/>
      <c r="CK47" s="446"/>
      <c r="CL47" s="446"/>
      <c r="CM47" s="446"/>
      <c r="CN47" s="446"/>
      <c r="CO47" s="446"/>
      <c r="CP47" s="446"/>
      <c r="CQ47" s="446"/>
      <c r="CR47" s="446"/>
      <c r="CS47" s="446"/>
      <c r="CT47" s="446"/>
      <c r="CU47" s="446"/>
      <c r="CV47" s="446"/>
      <c r="CW47" s="446"/>
      <c r="CX47" s="446"/>
      <c r="CY47" s="446"/>
      <c r="CZ47" s="446"/>
      <c r="DA47" s="446"/>
      <c r="DB47" s="446"/>
      <c r="DC47" s="446"/>
      <c r="DD47" s="446"/>
      <c r="DE47" s="446"/>
      <c r="DF47" s="446"/>
      <c r="DG47" s="446"/>
      <c r="DH47" s="446"/>
      <c r="DI47" s="446"/>
      <c r="DJ47" s="446"/>
      <c r="DK47" s="446"/>
      <c r="DL47" s="446"/>
      <c r="DM47" s="446"/>
      <c r="DN47" s="446"/>
      <c r="DO47" s="446"/>
      <c r="DP47" s="446"/>
      <c r="DQ47" s="446"/>
      <c r="DR47" s="446"/>
      <c r="DS47" s="446"/>
      <c r="DT47" s="446"/>
      <c r="DU47" s="446"/>
      <c r="DV47" s="446"/>
      <c r="DW47" s="446"/>
      <c r="DX47" s="446"/>
      <c r="DY47" s="446"/>
      <c r="DZ47" s="446"/>
      <c r="EA47" s="446"/>
      <c r="EB47" s="446"/>
      <c r="EC47" s="446"/>
      <c r="ED47" s="446"/>
      <c r="EE47" s="446"/>
      <c r="EF47" s="446"/>
      <c r="EG47" s="446"/>
      <c r="EH47" s="446"/>
      <c r="EI47" s="446"/>
      <c r="EJ47" s="446"/>
      <c r="EK47" s="446"/>
      <c r="EL47" s="446"/>
      <c r="EM47" s="446"/>
      <c r="EN47" s="446"/>
      <c r="EO47" s="446"/>
      <c r="EP47" s="446"/>
      <c r="EQ47" s="446"/>
      <c r="ER47" s="446"/>
      <c r="ES47" s="446"/>
      <c r="ET47" s="446"/>
      <c r="EU47" s="446"/>
      <c r="EV47" s="446"/>
      <c r="EW47" s="446"/>
      <c r="EX47" s="446"/>
      <c r="EY47" s="446"/>
      <c r="EZ47" s="446"/>
      <c r="FA47" s="446"/>
      <c r="FB47" s="446"/>
      <c r="FC47" s="446"/>
      <c r="FD47" s="446"/>
      <c r="FE47" s="446"/>
      <c r="FF47" s="446"/>
      <c r="FG47" s="446"/>
      <c r="FH47" s="446"/>
      <c r="FI47" s="446"/>
      <c r="FJ47" s="446"/>
      <c r="FK47" s="446"/>
      <c r="FL47" s="446"/>
      <c r="FM47" s="446"/>
      <c r="FN47" s="446"/>
      <c r="FO47" s="446"/>
      <c r="FP47" s="446"/>
      <c r="FQ47" s="446"/>
      <c r="FR47" s="446"/>
      <c r="FS47" s="446"/>
      <c r="FT47" s="446"/>
      <c r="FU47" s="446"/>
      <c r="FV47" s="446"/>
      <c r="FW47" s="446"/>
      <c r="FX47" s="446"/>
      <c r="FY47" s="446"/>
      <c r="FZ47" s="446"/>
      <c r="GA47" s="446"/>
      <c r="GB47" s="446"/>
      <c r="GC47" s="446"/>
      <c r="GD47" s="446"/>
      <c r="GE47" s="446"/>
      <c r="GF47" s="446"/>
      <c r="GG47" s="446"/>
      <c r="GH47" s="446"/>
      <c r="GI47" s="446"/>
      <c r="GJ47" s="446"/>
      <c r="GK47" s="446"/>
      <c r="GL47" s="446"/>
      <c r="GM47" s="446"/>
      <c r="GN47" s="446"/>
      <c r="GO47" s="446"/>
      <c r="GP47" s="446"/>
      <c r="GQ47" s="446"/>
      <c r="GR47" s="446"/>
      <c r="GS47" s="446"/>
      <c r="GT47" s="446"/>
      <c r="GU47" s="446"/>
      <c r="GV47" s="446"/>
      <c r="GW47" s="446"/>
      <c r="GX47" s="446"/>
      <c r="GY47" s="446"/>
      <c r="GZ47" s="446"/>
      <c r="HA47" s="446"/>
      <c r="HB47" s="446"/>
      <c r="HC47" s="446"/>
      <c r="HD47" s="446"/>
      <c r="HE47" s="446"/>
      <c r="HF47" s="446"/>
      <c r="HG47" s="446"/>
      <c r="HH47" s="446"/>
      <c r="HI47" s="446"/>
      <c r="HJ47" s="446"/>
      <c r="HK47" s="446"/>
      <c r="HL47" s="446"/>
      <c r="HM47" s="446"/>
      <c r="HN47" s="446"/>
      <c r="HO47" s="446"/>
      <c r="HP47" s="446"/>
      <c r="HQ47" s="446"/>
      <c r="HR47" s="446"/>
      <c r="HS47" s="446"/>
      <c r="HT47" s="446"/>
      <c r="HU47" s="446"/>
      <c r="HV47" s="446"/>
      <c r="HW47" s="446"/>
      <c r="HX47" s="446"/>
      <c r="HY47" s="446"/>
      <c r="HZ47" s="446"/>
      <c r="IA47" s="446"/>
      <c r="IB47" s="446"/>
      <c r="IC47" s="446"/>
      <c r="ID47" s="446"/>
      <c r="IE47" s="446"/>
      <c r="IF47" s="446"/>
      <c r="IG47" s="446"/>
      <c r="IH47" s="446"/>
      <c r="II47" s="446"/>
      <c r="IJ47" s="446"/>
      <c r="IK47" s="446"/>
      <c r="IL47" s="446"/>
      <c r="IM47" s="446"/>
      <c r="IN47" s="446"/>
      <c r="IO47" s="446"/>
      <c r="IP47" s="446"/>
      <c r="IQ47" s="446"/>
      <c r="IR47" s="446"/>
      <c r="IS47" s="446"/>
      <c r="IT47" s="446"/>
      <c r="IU47" s="446"/>
    </row>
    <row r="48" spans="13:255" ht="29.25" customHeight="1">
      <c r="M48" s="54"/>
      <c r="N48" s="59"/>
      <c r="O48" s="59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446"/>
      <c r="BB48" s="446"/>
      <c r="BC48" s="446"/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6"/>
      <c r="CF48" s="446"/>
      <c r="CG48" s="446"/>
      <c r="CH48" s="446"/>
      <c r="CI48" s="446"/>
      <c r="CJ48" s="446"/>
      <c r="CK48" s="446"/>
      <c r="CL48" s="446"/>
      <c r="CM48" s="446"/>
      <c r="CN48" s="446"/>
      <c r="CO48" s="446"/>
      <c r="CP48" s="446"/>
      <c r="CQ48" s="446"/>
      <c r="CR48" s="446"/>
      <c r="CS48" s="446"/>
      <c r="CT48" s="446"/>
      <c r="CU48" s="446"/>
      <c r="CV48" s="446"/>
      <c r="CW48" s="446"/>
      <c r="CX48" s="446"/>
      <c r="CY48" s="446"/>
      <c r="CZ48" s="446"/>
      <c r="DA48" s="446"/>
      <c r="DB48" s="446"/>
      <c r="DC48" s="446"/>
      <c r="DD48" s="446"/>
      <c r="DE48" s="446"/>
      <c r="DF48" s="446"/>
      <c r="DG48" s="446"/>
      <c r="DH48" s="446"/>
      <c r="DI48" s="446"/>
      <c r="DJ48" s="446"/>
      <c r="DK48" s="446"/>
      <c r="DL48" s="446"/>
      <c r="DM48" s="446"/>
      <c r="DN48" s="446"/>
      <c r="DO48" s="446"/>
      <c r="DP48" s="446"/>
      <c r="DQ48" s="446"/>
      <c r="DR48" s="446"/>
      <c r="DS48" s="446"/>
      <c r="DT48" s="446"/>
      <c r="DU48" s="446"/>
      <c r="DV48" s="446"/>
      <c r="DW48" s="446"/>
      <c r="DX48" s="446"/>
      <c r="DY48" s="446"/>
      <c r="DZ48" s="446"/>
      <c r="EA48" s="446"/>
      <c r="EB48" s="446"/>
      <c r="EC48" s="446"/>
      <c r="ED48" s="446"/>
      <c r="EE48" s="446"/>
      <c r="EF48" s="446"/>
      <c r="EG48" s="446"/>
      <c r="EH48" s="446"/>
      <c r="EI48" s="446"/>
      <c r="EJ48" s="446"/>
      <c r="EK48" s="446"/>
      <c r="EL48" s="446"/>
      <c r="EM48" s="446"/>
      <c r="EN48" s="446"/>
      <c r="EO48" s="446"/>
      <c r="EP48" s="446"/>
      <c r="EQ48" s="446"/>
      <c r="ER48" s="446"/>
      <c r="ES48" s="446"/>
      <c r="ET48" s="446"/>
      <c r="EU48" s="446"/>
      <c r="EV48" s="446"/>
      <c r="EW48" s="446"/>
      <c r="EX48" s="446"/>
      <c r="EY48" s="446"/>
      <c r="EZ48" s="446"/>
      <c r="FA48" s="446"/>
      <c r="FB48" s="446"/>
      <c r="FC48" s="446"/>
      <c r="FD48" s="446"/>
      <c r="FE48" s="446"/>
      <c r="FF48" s="446"/>
      <c r="FG48" s="446"/>
      <c r="FH48" s="446"/>
      <c r="FI48" s="446"/>
      <c r="FJ48" s="446"/>
      <c r="FK48" s="446"/>
      <c r="FL48" s="446"/>
      <c r="FM48" s="446"/>
      <c r="FN48" s="446"/>
      <c r="FO48" s="446"/>
      <c r="FP48" s="446"/>
      <c r="FQ48" s="446"/>
      <c r="FR48" s="446"/>
      <c r="FS48" s="446"/>
      <c r="FT48" s="446"/>
      <c r="FU48" s="446"/>
      <c r="FV48" s="446"/>
      <c r="FW48" s="446"/>
      <c r="FX48" s="446"/>
      <c r="FY48" s="446"/>
      <c r="FZ48" s="446"/>
      <c r="GA48" s="446"/>
      <c r="GB48" s="446"/>
      <c r="GC48" s="446"/>
      <c r="GD48" s="446"/>
      <c r="GE48" s="446"/>
      <c r="GF48" s="446"/>
      <c r="GG48" s="446"/>
      <c r="GH48" s="446"/>
      <c r="GI48" s="446"/>
      <c r="GJ48" s="446"/>
      <c r="GK48" s="446"/>
      <c r="GL48" s="446"/>
      <c r="GM48" s="446"/>
      <c r="GN48" s="446"/>
      <c r="GO48" s="446"/>
      <c r="GP48" s="446"/>
      <c r="GQ48" s="446"/>
      <c r="GR48" s="446"/>
      <c r="GS48" s="446"/>
      <c r="GT48" s="446"/>
      <c r="GU48" s="446"/>
      <c r="GV48" s="446"/>
      <c r="GW48" s="446"/>
      <c r="GX48" s="446"/>
      <c r="GY48" s="446"/>
      <c r="GZ48" s="446"/>
      <c r="HA48" s="446"/>
      <c r="HB48" s="446"/>
      <c r="HC48" s="446"/>
      <c r="HD48" s="446"/>
      <c r="HE48" s="446"/>
      <c r="HF48" s="446"/>
      <c r="HG48" s="446"/>
      <c r="HH48" s="446"/>
      <c r="HI48" s="446"/>
      <c r="HJ48" s="446"/>
      <c r="HK48" s="446"/>
      <c r="HL48" s="446"/>
      <c r="HM48" s="446"/>
      <c r="HN48" s="446"/>
      <c r="HO48" s="446"/>
      <c r="HP48" s="446"/>
      <c r="HQ48" s="446"/>
      <c r="HR48" s="446"/>
      <c r="HS48" s="446"/>
      <c r="HT48" s="446"/>
      <c r="HU48" s="446"/>
      <c r="HV48" s="446"/>
      <c r="HW48" s="446"/>
      <c r="HX48" s="446"/>
      <c r="HY48" s="446"/>
      <c r="HZ48" s="446"/>
      <c r="IA48" s="446"/>
      <c r="IB48" s="446"/>
      <c r="IC48" s="446"/>
      <c r="ID48" s="446"/>
      <c r="IE48" s="446"/>
      <c r="IF48" s="446"/>
      <c r="IG48" s="446"/>
      <c r="IH48" s="446"/>
      <c r="II48" s="446"/>
      <c r="IJ48" s="446"/>
      <c r="IK48" s="446"/>
      <c r="IL48" s="446"/>
      <c r="IM48" s="446"/>
      <c r="IN48" s="446"/>
      <c r="IO48" s="446"/>
      <c r="IP48" s="446"/>
      <c r="IQ48" s="446"/>
      <c r="IR48" s="446"/>
      <c r="IS48" s="446"/>
      <c r="IT48" s="446"/>
      <c r="IU48" s="446"/>
    </row>
    <row r="49" spans="13:15" ht="29.25" customHeight="1">
      <c r="M49" s="54"/>
      <c r="N49" s="59"/>
      <c r="O49" s="59"/>
    </row>
    <row r="50" spans="13:15" ht="29.25" customHeight="1">
      <c r="M50" s="54"/>
      <c r="N50" s="59"/>
      <c r="O50" s="59"/>
    </row>
    <row r="51" spans="13:15" ht="29.25" customHeight="1">
      <c r="M51" s="54"/>
      <c r="N51" s="59"/>
      <c r="O51" s="59"/>
    </row>
    <row r="52" spans="13:15" ht="29.25" customHeight="1">
      <c r="M52" s="54"/>
      <c r="N52" s="59"/>
      <c r="O52" s="59"/>
    </row>
    <row r="53" spans="13:15" ht="29.25" customHeight="1">
      <c r="M53" s="54"/>
      <c r="N53" s="59"/>
      <c r="O53" s="59"/>
    </row>
    <row r="54" spans="13:15" ht="29.25" customHeight="1">
      <c r="M54" s="54"/>
      <c r="N54" s="59"/>
      <c r="O54" s="59"/>
    </row>
    <row r="55" spans="13:15" ht="29.25" customHeight="1">
      <c r="M55" s="54"/>
      <c r="N55" s="59"/>
      <c r="O55" s="59"/>
    </row>
    <row r="56" spans="13:15" ht="29.25" customHeight="1">
      <c r="M56" s="54"/>
      <c r="N56" s="59"/>
      <c r="O56" s="59"/>
    </row>
    <row r="57" spans="13:15" ht="29.25" customHeight="1">
      <c r="M57" s="54"/>
      <c r="N57" s="59"/>
      <c r="O57" s="59"/>
    </row>
    <row r="58" spans="13:15" ht="29.25" customHeight="1">
      <c r="M58" s="54"/>
      <c r="N58" s="59"/>
      <c r="O58" s="59"/>
    </row>
    <row r="59" spans="13:15" ht="29.25" customHeight="1">
      <c r="M59" s="54"/>
      <c r="N59" s="59"/>
      <c r="O59" s="59"/>
    </row>
    <row r="60" spans="13:15" ht="29.25" customHeight="1">
      <c r="M60" s="54"/>
      <c r="N60" s="59"/>
      <c r="O60" s="59"/>
    </row>
    <row r="61" spans="13:15" ht="29.25" customHeight="1">
      <c r="M61" s="54"/>
      <c r="N61" s="59"/>
      <c r="O61" s="59"/>
    </row>
    <row r="62" spans="8:15" ht="29.25" customHeight="1">
      <c r="H62" s="54"/>
      <c r="I62" s="54"/>
      <c r="J62" s="54"/>
      <c r="K62" s="54"/>
      <c r="L62" s="54"/>
      <c r="M62" s="54"/>
      <c r="N62" s="59"/>
      <c r="O62" s="59"/>
    </row>
    <row r="63" spans="8:15" ht="29.25" customHeight="1">
      <c r="H63" s="54"/>
      <c r="I63" s="54"/>
      <c r="J63" s="54"/>
      <c r="K63" s="54"/>
      <c r="L63" s="54"/>
      <c r="M63" s="54"/>
      <c r="N63" s="59"/>
      <c r="O63" s="59"/>
    </row>
    <row r="64" spans="8:15" ht="29.25" customHeight="1">
      <c r="H64" s="54"/>
      <c r="I64" s="54"/>
      <c r="J64" s="54"/>
      <c r="K64" s="54"/>
      <c r="L64" s="54"/>
      <c r="M64" s="54"/>
      <c r="N64" s="59"/>
      <c r="O64" s="59"/>
    </row>
    <row r="65" spans="8:15" ht="29.25" customHeight="1">
      <c r="H65" s="54"/>
      <c r="I65" s="54"/>
      <c r="J65" s="54"/>
      <c r="K65" s="54"/>
      <c r="L65" s="54"/>
      <c r="M65" s="54"/>
      <c r="N65" s="59"/>
      <c r="O65" s="59"/>
    </row>
    <row r="66" spans="8:15" ht="29.25" customHeight="1">
      <c r="H66" s="54"/>
      <c r="I66" s="54"/>
      <c r="J66" s="54"/>
      <c r="K66" s="54"/>
      <c r="L66" s="54"/>
      <c r="M66" s="54"/>
      <c r="N66" s="59"/>
      <c r="O66" s="59"/>
    </row>
    <row r="67" spans="8:15" ht="29.25" customHeight="1">
      <c r="H67" s="54"/>
      <c r="I67" s="54"/>
      <c r="J67" s="54"/>
      <c r="K67" s="54"/>
      <c r="L67" s="54"/>
      <c r="M67" s="54"/>
      <c r="N67" s="59"/>
      <c r="O67" s="59"/>
    </row>
    <row r="68" spans="8:255" ht="26.25" customHeight="1">
      <c r="H68" s="54"/>
      <c r="I68" s="54"/>
      <c r="J68" s="54"/>
      <c r="K68" s="54"/>
      <c r="L68" s="54"/>
      <c r="M68" s="54"/>
      <c r="N68" s="59"/>
      <c r="O68" s="59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  <c r="IT68" s="75"/>
      <c r="IU68" s="75"/>
    </row>
    <row r="69" spans="8:255" ht="26.25" customHeight="1">
      <c r="H69" s="54"/>
      <c r="I69" s="54"/>
      <c r="J69" s="54"/>
      <c r="K69" s="54"/>
      <c r="L69" s="54"/>
      <c r="M69" s="54"/>
      <c r="N69" s="59"/>
      <c r="O69" s="59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</row>
    <row r="70" spans="8:255" ht="26.25" customHeight="1">
      <c r="H70" s="54"/>
      <c r="I70" s="54"/>
      <c r="J70" s="54"/>
      <c r="K70" s="54"/>
      <c r="L70" s="54"/>
      <c r="M70" s="54"/>
      <c r="N70" s="59"/>
      <c r="O70" s="59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  <c r="IU70" s="75"/>
    </row>
    <row r="71" spans="8:255" ht="26.25" customHeight="1">
      <c r="H71" s="54"/>
      <c r="I71" s="54"/>
      <c r="J71" s="54"/>
      <c r="K71" s="54"/>
      <c r="L71" s="54"/>
      <c r="M71" s="54"/>
      <c r="N71" s="59"/>
      <c r="O71" s="59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  <c r="IU71" s="75"/>
    </row>
    <row r="72" spans="8:255" ht="26.25" customHeight="1">
      <c r="H72" s="54"/>
      <c r="I72" s="54"/>
      <c r="J72" s="54"/>
      <c r="K72" s="54"/>
      <c r="L72" s="54"/>
      <c r="M72" s="54"/>
      <c r="N72" s="59"/>
      <c r="O72" s="59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</row>
    <row r="73" spans="1:255" ht="26.25" customHeight="1">
      <c r="A73" s="1762"/>
      <c r="B73" s="86"/>
      <c r="C73" s="731"/>
      <c r="D73" s="708"/>
      <c r="H73" s="54"/>
      <c r="I73" s="54"/>
      <c r="J73" s="54"/>
      <c r="K73" s="54"/>
      <c r="L73" s="54"/>
      <c r="M73" s="54"/>
      <c r="N73" s="59"/>
      <c r="O73" s="59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  <c r="IU73" s="75"/>
    </row>
    <row r="74" spans="1:255" ht="26.25" customHeight="1">
      <c r="A74" s="1762"/>
      <c r="B74" s="86"/>
      <c r="C74" s="86"/>
      <c r="D74" s="708"/>
      <c r="H74" s="54"/>
      <c r="I74" s="54"/>
      <c r="J74" s="54"/>
      <c r="K74" s="54"/>
      <c r="L74" s="54"/>
      <c r="M74" s="54"/>
      <c r="N74" s="59"/>
      <c r="O74" s="59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</row>
    <row r="75" spans="1:255" ht="29.25" customHeight="1" hidden="1">
      <c r="A75" s="1763" t="s">
        <v>1149</v>
      </c>
      <c r="B75" s="99"/>
      <c r="C75" s="99"/>
      <c r="D75" s="342">
        <f>SUM(B75:C75)</f>
        <v>0</v>
      </c>
      <c r="H75" s="54"/>
      <c r="I75" s="54"/>
      <c r="J75" s="54"/>
      <c r="K75" s="54"/>
      <c r="L75" s="54"/>
      <c r="M75" s="54"/>
      <c r="N75" s="59"/>
      <c r="O75" s="59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</row>
    <row r="76" spans="8:255" ht="29.25" customHeight="1">
      <c r="H76" s="54"/>
      <c r="I76" s="54"/>
      <c r="J76" s="54"/>
      <c r="K76" s="54"/>
      <c r="L76" s="54"/>
      <c r="M76" s="54"/>
      <c r="N76" s="59"/>
      <c r="O76" s="59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</row>
    <row r="77" spans="21:255" ht="33"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</row>
    <row r="78" spans="21:255" ht="33"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</row>
    <row r="79" spans="21:255" ht="33"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</row>
    <row r="80" spans="21:255" ht="33"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</row>
    <row r="81" spans="21:255" ht="33"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  <c r="FS81" s="75"/>
      <c r="FT81" s="75"/>
      <c r="FU81" s="75"/>
      <c r="FV81" s="75"/>
      <c r="FW81" s="75"/>
      <c r="FX81" s="75"/>
      <c r="FY81" s="75"/>
      <c r="FZ81" s="75"/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  <c r="HE81" s="75"/>
      <c r="HF81" s="75"/>
      <c r="HG81" s="75"/>
      <c r="HH81" s="75"/>
      <c r="HI81" s="75"/>
      <c r="HJ81" s="75"/>
      <c r="HK81" s="75"/>
      <c r="HL81" s="75"/>
      <c r="HM81" s="75"/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</row>
    <row r="82" spans="21:255" ht="33"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  <c r="FS82" s="75"/>
      <c r="FT82" s="75"/>
      <c r="FU82" s="75"/>
      <c r="FV82" s="75"/>
      <c r="FW82" s="75"/>
      <c r="FX82" s="75"/>
      <c r="FY82" s="75"/>
      <c r="FZ82" s="75"/>
      <c r="GA82" s="75"/>
      <c r="GB82" s="75"/>
      <c r="GC82" s="75"/>
      <c r="GD82" s="75"/>
      <c r="GE82" s="75"/>
      <c r="GF82" s="75"/>
      <c r="GG82" s="75"/>
      <c r="GH82" s="75"/>
      <c r="GI82" s="75"/>
      <c r="GJ82" s="75"/>
      <c r="GK82" s="75"/>
      <c r="GL82" s="75"/>
      <c r="GM82" s="75"/>
      <c r="GN82" s="75"/>
      <c r="GO82" s="75"/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  <c r="HE82" s="75"/>
      <c r="HF82" s="75"/>
      <c r="HG82" s="75"/>
      <c r="HH82" s="75"/>
      <c r="HI82" s="75"/>
      <c r="HJ82" s="75"/>
      <c r="HK82" s="75"/>
      <c r="HL82" s="75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</row>
    <row r="83" spans="21:255" ht="33"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  <c r="FS83" s="75"/>
      <c r="FT83" s="75"/>
      <c r="FU83" s="75"/>
      <c r="FV83" s="75"/>
      <c r="FW83" s="75"/>
      <c r="FX83" s="75"/>
      <c r="FY83" s="75"/>
      <c r="FZ83" s="75"/>
      <c r="GA83" s="75"/>
      <c r="GB83" s="75"/>
      <c r="GC83" s="75"/>
      <c r="GD83" s="75"/>
      <c r="GE83" s="75"/>
      <c r="GF83" s="75"/>
      <c r="GG83" s="75"/>
      <c r="GH83" s="75"/>
      <c r="GI83" s="75"/>
      <c r="GJ83" s="75"/>
      <c r="GK83" s="75"/>
      <c r="GL83" s="75"/>
      <c r="GM83" s="75"/>
      <c r="GN83" s="75"/>
      <c r="GO83" s="75"/>
      <c r="GP83" s="75"/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  <c r="HE83" s="75"/>
      <c r="HF83" s="75"/>
      <c r="HG83" s="75"/>
      <c r="HH83" s="75"/>
      <c r="HI83" s="75"/>
      <c r="HJ83" s="75"/>
      <c r="HK83" s="75"/>
      <c r="HL83" s="75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</row>
    <row r="84" spans="21:255" ht="33"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75"/>
      <c r="FY84" s="75"/>
      <c r="FZ84" s="75"/>
      <c r="GA84" s="75"/>
      <c r="GB84" s="75"/>
      <c r="GC84" s="75"/>
      <c r="GD84" s="75"/>
      <c r="GE84" s="75"/>
      <c r="GF84" s="75"/>
      <c r="GG84" s="75"/>
      <c r="GH84" s="75"/>
      <c r="GI84" s="75"/>
      <c r="GJ84" s="75"/>
      <c r="GK84" s="75"/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  <c r="HE84" s="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</row>
    <row r="85" spans="1:13" s="75" customFormat="1" ht="33">
      <c r="A85" s="1764"/>
      <c r="M85" s="1765"/>
    </row>
    <row r="86" spans="1:13" s="75" customFormat="1" ht="33">
      <c r="A86" s="1764"/>
      <c r="M86" s="1765"/>
    </row>
    <row r="87" spans="1:13" s="75" customFormat="1" ht="33">
      <c r="A87" s="1764"/>
      <c r="M87" s="1765"/>
    </row>
    <row r="88" spans="1:13" s="75" customFormat="1" ht="33">
      <c r="A88" s="1764"/>
      <c r="M88" s="1765"/>
    </row>
    <row r="89" spans="1:13" s="75" customFormat="1" ht="33">
      <c r="A89" s="1764"/>
      <c r="M89" s="1765"/>
    </row>
    <row r="90" spans="1:13" s="75" customFormat="1" ht="33">
      <c r="A90" s="1764"/>
      <c r="M90" s="1765"/>
    </row>
    <row r="91" spans="1:13" s="75" customFormat="1" ht="33">
      <c r="A91" s="1764"/>
      <c r="M91" s="1765"/>
    </row>
    <row r="92" spans="1:13" s="75" customFormat="1" ht="33">
      <c r="A92" s="1764"/>
      <c r="M92" s="1765"/>
    </row>
    <row r="93" spans="1:13" s="75" customFormat="1" ht="33">
      <c r="A93" s="1764"/>
      <c r="M93" s="1765"/>
    </row>
    <row r="94" spans="1:13" s="75" customFormat="1" ht="33">
      <c r="A94" s="1764"/>
      <c r="M94" s="1765"/>
    </row>
    <row r="95" spans="1:13" s="75" customFormat="1" ht="33">
      <c r="A95" s="1764"/>
      <c r="M95" s="1765"/>
    </row>
    <row r="96" spans="1:13" s="75" customFormat="1" ht="33">
      <c r="A96" s="1764"/>
      <c r="M96" s="1765"/>
    </row>
    <row r="97" spans="1:13" s="75" customFormat="1" ht="33">
      <c r="A97" s="1764"/>
      <c r="M97" s="1765"/>
    </row>
    <row r="98" spans="1:13" s="75" customFormat="1" ht="33">
      <c r="A98" s="1764"/>
      <c r="M98" s="1765"/>
    </row>
    <row r="99" spans="1:13" s="75" customFormat="1" ht="33">
      <c r="A99" s="1764"/>
      <c r="M99" s="1765"/>
    </row>
    <row r="100" spans="1:13" s="75" customFormat="1" ht="33">
      <c r="A100" s="1764"/>
      <c r="M100" s="1765"/>
    </row>
    <row r="101" spans="1:13" s="75" customFormat="1" ht="33">
      <c r="A101" s="1764"/>
      <c r="M101" s="1765"/>
    </row>
    <row r="102" spans="1:13" s="75" customFormat="1" ht="33">
      <c r="A102" s="1764"/>
      <c r="M102" s="1765"/>
    </row>
    <row r="103" spans="1:13" s="75" customFormat="1" ht="33">
      <c r="A103" s="1764"/>
      <c r="M103" s="1765"/>
    </row>
    <row r="104" spans="1:13" s="75" customFormat="1" ht="33">
      <c r="A104" s="1764"/>
      <c r="M104" s="1765"/>
    </row>
    <row r="105" spans="1:13" s="75" customFormat="1" ht="33">
      <c r="A105" s="1764"/>
      <c r="M105" s="1765"/>
    </row>
    <row r="106" spans="1:13" s="75" customFormat="1" ht="33">
      <c r="A106" s="1764"/>
      <c r="M106" s="1765"/>
    </row>
    <row r="107" spans="1:13" s="75" customFormat="1" ht="33">
      <c r="A107" s="1764"/>
      <c r="M107" s="1765"/>
    </row>
    <row r="108" spans="1:13" s="75" customFormat="1" ht="33">
      <c r="A108" s="1764"/>
      <c r="M108" s="1765"/>
    </row>
    <row r="109" spans="1:13" s="75" customFormat="1" ht="33">
      <c r="A109" s="1764"/>
      <c r="M109" s="1765"/>
    </row>
    <row r="110" spans="1:13" s="75" customFormat="1" ht="33">
      <c r="A110" s="1764"/>
      <c r="M110" s="1765"/>
    </row>
    <row r="111" spans="1:13" s="75" customFormat="1" ht="33">
      <c r="A111" s="1764"/>
      <c r="M111" s="1765"/>
    </row>
    <row r="112" spans="1:13" s="75" customFormat="1" ht="33">
      <c r="A112" s="1764"/>
      <c r="M112" s="1765"/>
    </row>
    <row r="113" spans="1:13" s="75" customFormat="1" ht="33">
      <c r="A113" s="1764"/>
      <c r="M113" s="1765"/>
    </row>
    <row r="114" spans="1:13" s="75" customFormat="1" ht="33">
      <c r="A114" s="1764"/>
      <c r="M114" s="1765"/>
    </row>
    <row r="115" spans="1:13" s="75" customFormat="1" ht="33">
      <c r="A115" s="1764"/>
      <c r="M115" s="1765"/>
    </row>
    <row r="116" spans="1:13" s="75" customFormat="1" ht="33">
      <c r="A116" s="1764"/>
      <c r="M116" s="1765"/>
    </row>
    <row r="117" spans="1:13" s="75" customFormat="1" ht="33">
      <c r="A117" s="1764"/>
      <c r="M117" s="1765"/>
    </row>
    <row r="118" spans="1:13" s="75" customFormat="1" ht="33">
      <c r="A118" s="1764"/>
      <c r="M118" s="1765"/>
    </row>
    <row r="119" spans="1:13" s="75" customFormat="1" ht="33">
      <c r="A119" s="1764"/>
      <c r="M119" s="1765"/>
    </row>
    <row r="120" spans="1:13" s="75" customFormat="1" ht="33">
      <c r="A120" s="1764"/>
      <c r="M120" s="1765"/>
    </row>
  </sheetData>
  <sheetProtection/>
  <printOptions/>
  <pageMargins left="0.52" right="0.3937007874015748" top="0.25" bottom="0.7874015748031497" header="0.34" footer="0.5118110236220472"/>
  <pageSetup horizontalDpi="300" verticalDpi="300" orientation="landscape" paperSize="9" scale="3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0"/>
  <sheetViews>
    <sheetView zoomScale="75" zoomScaleNormal="75" zoomScalePageLayoutView="0" workbookViewId="0" topLeftCell="A7">
      <selection activeCell="I33" sqref="I33"/>
    </sheetView>
  </sheetViews>
  <sheetFormatPr defaultColWidth="9.7109375" defaultRowHeight="12.75"/>
  <cols>
    <col min="1" max="1" width="33.7109375" style="1" customWidth="1"/>
    <col min="2" max="2" width="15.28125" style="2" customWidth="1"/>
    <col min="3" max="3" width="17.140625" style="2" customWidth="1"/>
    <col min="4" max="4" width="15.28125" style="2" customWidth="1"/>
    <col min="5" max="5" width="15.57421875" style="4" customWidth="1"/>
    <col min="6" max="6" width="2.7109375" style="1" customWidth="1"/>
    <col min="7" max="7" width="7.57421875" style="1" customWidth="1"/>
    <col min="8" max="8" width="8.00390625" style="1" customWidth="1"/>
    <col min="9" max="9" width="8.57421875" style="1" customWidth="1"/>
    <col min="10" max="10" width="7.7109375" style="1" customWidth="1"/>
    <col min="11" max="11" width="8.8515625" style="1" customWidth="1"/>
    <col min="12" max="12" width="12.00390625" style="1" customWidth="1"/>
    <col min="13" max="13" width="7.7109375" style="1" customWidth="1"/>
    <col min="14" max="16384" width="9.7109375" style="1" customWidth="1"/>
  </cols>
  <sheetData>
    <row r="1" spans="1:6" ht="22.5" customHeight="1">
      <c r="A1" s="12" t="s">
        <v>1620</v>
      </c>
      <c r="F1" s="133"/>
    </row>
    <row r="2" spans="1:6" ht="22.5" customHeight="1">
      <c r="A2" s="13" t="s">
        <v>1150</v>
      </c>
      <c r="F2" s="133"/>
    </row>
    <row r="3" ht="22.5" customHeight="1" thickBot="1">
      <c r="F3" s="133"/>
    </row>
    <row r="4" spans="1:256" ht="22.5" customHeight="1">
      <c r="A4" s="357" t="s">
        <v>1057</v>
      </c>
      <c r="B4" s="359" t="s">
        <v>585</v>
      </c>
      <c r="C4" s="359" t="s">
        <v>1058</v>
      </c>
      <c r="D4" s="359" t="s">
        <v>686</v>
      </c>
      <c r="E4" s="359" t="s">
        <v>472</v>
      </c>
      <c r="F4" s="10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22.5" customHeight="1" thickBot="1">
      <c r="A5" s="358" t="s">
        <v>1061</v>
      </c>
      <c r="B5" s="360" t="s">
        <v>1125</v>
      </c>
      <c r="C5" s="360" t="s">
        <v>1126</v>
      </c>
      <c r="D5" s="360" t="s">
        <v>1127</v>
      </c>
      <c r="E5" s="361" t="s">
        <v>480</v>
      </c>
      <c r="F5" s="10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6" ht="21" customHeight="1">
      <c r="A6" s="362" t="s">
        <v>1151</v>
      </c>
      <c r="B6" s="363"/>
      <c r="C6" s="363"/>
      <c r="D6" s="363"/>
      <c r="E6" s="364"/>
      <c r="F6" s="133"/>
    </row>
    <row r="7" spans="1:6" ht="21" customHeight="1">
      <c r="A7" s="365" t="s">
        <v>1152</v>
      </c>
      <c r="B7" s="6"/>
      <c r="C7" s="6"/>
      <c r="D7" s="6"/>
      <c r="E7" s="366"/>
      <c r="F7" s="133"/>
    </row>
    <row r="8" spans="1:6" ht="21" customHeight="1">
      <c r="A8" s="367" t="s">
        <v>1153</v>
      </c>
      <c r="B8" s="22"/>
      <c r="C8" s="22"/>
      <c r="D8" s="22"/>
      <c r="E8" s="368"/>
      <c r="F8" s="133"/>
    </row>
    <row r="9" spans="1:6" ht="21" customHeight="1">
      <c r="A9" s="365" t="s">
        <v>1154</v>
      </c>
      <c r="B9" s="89" t="s">
        <v>464</v>
      </c>
      <c r="C9" s="89" t="s">
        <v>464</v>
      </c>
      <c r="D9" s="89" t="s">
        <v>464</v>
      </c>
      <c r="E9" s="369" t="s">
        <v>464</v>
      </c>
      <c r="F9" s="133"/>
    </row>
    <row r="10" spans="1:6" ht="21" customHeight="1">
      <c r="A10" s="367" t="s">
        <v>1155</v>
      </c>
      <c r="B10" s="22"/>
      <c r="C10" s="22"/>
      <c r="D10" s="22"/>
      <c r="E10" s="368"/>
      <c r="F10" s="133"/>
    </row>
    <row r="11" spans="1:6" ht="21" customHeight="1">
      <c r="A11" s="365" t="s">
        <v>1156</v>
      </c>
      <c r="B11" s="89" t="s">
        <v>464</v>
      </c>
      <c r="C11" s="89" t="s">
        <v>464</v>
      </c>
      <c r="D11" s="89" t="s">
        <v>464</v>
      </c>
      <c r="E11" s="369" t="s">
        <v>464</v>
      </c>
      <c r="F11" s="133"/>
    </row>
    <row r="12" spans="1:6" ht="21" customHeight="1">
      <c r="A12" s="367" t="s">
        <v>1157</v>
      </c>
      <c r="B12" s="22"/>
      <c r="C12" s="90" t="s">
        <v>464</v>
      </c>
      <c r="D12" s="90" t="s">
        <v>464</v>
      </c>
      <c r="E12" s="370" t="s">
        <v>464</v>
      </c>
      <c r="F12" s="133"/>
    </row>
    <row r="13" spans="1:6" ht="21" customHeight="1">
      <c r="A13" s="365" t="s">
        <v>1158</v>
      </c>
      <c r="B13" s="89" t="s">
        <v>464</v>
      </c>
      <c r="C13" s="89" t="s">
        <v>464</v>
      </c>
      <c r="D13" s="89" t="s">
        <v>464</v>
      </c>
      <c r="E13" s="369" t="s">
        <v>464</v>
      </c>
      <c r="F13" s="133"/>
    </row>
    <row r="14" spans="1:6" ht="21" customHeight="1">
      <c r="A14" s="367" t="s">
        <v>1159</v>
      </c>
      <c r="B14" s="22"/>
      <c r="C14" s="22"/>
      <c r="D14" s="22"/>
      <c r="E14" s="368"/>
      <c r="F14" s="133"/>
    </row>
    <row r="15" spans="1:256" ht="21" customHeight="1">
      <c r="A15" s="365" t="s">
        <v>882</v>
      </c>
      <c r="B15" s="89" t="s">
        <v>464</v>
      </c>
      <c r="C15" s="89" t="s">
        <v>464</v>
      </c>
      <c r="D15" s="89" t="s">
        <v>464</v>
      </c>
      <c r="E15" s="369" t="s">
        <v>464</v>
      </c>
      <c r="F15" s="134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 s="367" t="s">
        <v>1160</v>
      </c>
      <c r="B16" s="22"/>
      <c r="C16" s="22"/>
      <c r="D16" s="22"/>
      <c r="E16" s="368"/>
      <c r="F16" s="134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 s="365" t="s">
        <v>1161</v>
      </c>
      <c r="B17" s="89" t="s">
        <v>464</v>
      </c>
      <c r="C17" s="89" t="s">
        <v>464</v>
      </c>
      <c r="D17" s="89" t="s">
        <v>464</v>
      </c>
      <c r="E17" s="369" t="s">
        <v>464</v>
      </c>
      <c r="F17" s="13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 thickBot="1">
      <c r="A18" s="371"/>
      <c r="B18" s="143"/>
      <c r="C18" s="143"/>
      <c r="D18" s="143"/>
      <c r="E18" s="372"/>
      <c r="F18" s="13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 s="362" t="s">
        <v>435</v>
      </c>
      <c r="B19" s="363"/>
      <c r="C19" s="363"/>
      <c r="D19" s="363"/>
      <c r="E19" s="364"/>
      <c r="F19" s="13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365" t="s">
        <v>1466</v>
      </c>
      <c r="B20" s="6"/>
      <c r="C20" s="6"/>
      <c r="D20" s="6"/>
      <c r="E20" s="366"/>
      <c r="F20" s="13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 s="367" t="s">
        <v>182</v>
      </c>
      <c r="B21" s="22"/>
      <c r="C21" s="79"/>
      <c r="D21" s="79"/>
      <c r="E21" s="149"/>
      <c r="F21" s="134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" customHeight="1">
      <c r="A22" s="365" t="s">
        <v>183</v>
      </c>
      <c r="B22" s="89" t="s">
        <v>464</v>
      </c>
      <c r="C22" s="132">
        <v>2450354</v>
      </c>
      <c r="D22" s="1469" t="s">
        <v>464</v>
      </c>
      <c r="E22" s="151">
        <f>SUM(B22:D22)</f>
        <v>2450354</v>
      </c>
      <c r="F22" s="134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374" t="s">
        <v>1301</v>
      </c>
      <c r="B23" s="135"/>
      <c r="C23" s="93"/>
      <c r="D23" s="1470"/>
      <c r="E23" s="152"/>
      <c r="F23" s="134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" customHeight="1">
      <c r="A24" s="365" t="s">
        <v>1302</v>
      </c>
      <c r="B24" s="733" t="s">
        <v>464</v>
      </c>
      <c r="C24" s="92" t="s">
        <v>464</v>
      </c>
      <c r="D24" s="1471" t="s">
        <v>464</v>
      </c>
      <c r="E24" s="1455" t="s">
        <v>464</v>
      </c>
      <c r="F24" s="13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" customHeight="1">
      <c r="A25" s="367" t="s">
        <v>382</v>
      </c>
      <c r="B25" s="22"/>
      <c r="C25" s="79"/>
      <c r="D25" s="79"/>
      <c r="E25" s="149"/>
      <c r="F25" s="134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" customHeight="1">
      <c r="A26" s="2510" t="s">
        <v>180</v>
      </c>
      <c r="B26" s="89" t="s">
        <v>464</v>
      </c>
      <c r="C26" s="1469">
        <v>267503</v>
      </c>
      <c r="D26" s="1472" t="s">
        <v>464</v>
      </c>
      <c r="E26" s="1455">
        <f>SUM(B26:D26)</f>
        <v>267503</v>
      </c>
      <c r="F26" s="134"/>
      <c r="G26"/>
      <c r="H26" t="s">
        <v>1621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 customHeight="1">
      <c r="A27" s="367" t="s">
        <v>181</v>
      </c>
      <c r="B27" s="22"/>
      <c r="C27" s="79"/>
      <c r="D27" s="79"/>
      <c r="E27" s="149"/>
      <c r="F27" s="134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>
      <c r="A28" s="365" t="s">
        <v>1303</v>
      </c>
      <c r="B28" s="89" t="s">
        <v>464</v>
      </c>
      <c r="C28" s="1469">
        <v>2526750</v>
      </c>
      <c r="D28" s="1469" t="s">
        <v>464</v>
      </c>
      <c r="E28" s="1473">
        <f>SUM(B28:D28)</f>
        <v>2526750</v>
      </c>
      <c r="F28" s="134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 customHeight="1">
      <c r="A29" s="367" t="s">
        <v>383</v>
      </c>
      <c r="B29" s="22"/>
      <c r="C29" s="79"/>
      <c r="D29" s="79"/>
      <c r="E29" s="149"/>
      <c r="F29" s="134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 customHeight="1" thickBot="1">
      <c r="A30" t="s">
        <v>384</v>
      </c>
      <c r="B30" s="89" t="s">
        <v>464</v>
      </c>
      <c r="C30" s="1471">
        <v>61500</v>
      </c>
      <c r="D30" s="1472" t="s">
        <v>464</v>
      </c>
      <c r="E30" s="1473">
        <f>SUM(B30:D30)</f>
        <v>61500</v>
      </c>
      <c r="F30" s="134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 s="362" t="s">
        <v>1162</v>
      </c>
      <c r="B31" s="363"/>
      <c r="C31" s="1450"/>
      <c r="D31" s="1450"/>
      <c r="E31" s="153"/>
      <c r="F31" s="134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 customHeight="1">
      <c r="A32" s="373" t="s">
        <v>1163</v>
      </c>
      <c r="B32" s="6"/>
      <c r="C32" s="77"/>
      <c r="D32" s="77"/>
      <c r="E32" s="150"/>
      <c r="F32" s="134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 s="367" t="s">
        <v>1467</v>
      </c>
      <c r="B33" s="22"/>
      <c r="C33" s="79"/>
      <c r="D33" s="79"/>
      <c r="E33" s="149"/>
      <c r="F33" s="134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 s="373" t="s">
        <v>1468</v>
      </c>
      <c r="B34" s="89" t="s">
        <v>464</v>
      </c>
      <c r="C34" s="77">
        <v>40000</v>
      </c>
      <c r="D34" s="1472" t="s">
        <v>464</v>
      </c>
      <c r="E34" s="150">
        <f>SUM(B34:D34)</f>
        <v>40000</v>
      </c>
      <c r="F34" s="1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367" t="s">
        <v>1164</v>
      </c>
      <c r="B35" s="22"/>
      <c r="C35" s="79"/>
      <c r="D35" s="79"/>
      <c r="E35" s="149"/>
      <c r="F35" s="134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" customHeight="1">
      <c r="A36" s="373" t="s">
        <v>1165</v>
      </c>
      <c r="B36" s="89" t="s">
        <v>464</v>
      </c>
      <c r="C36" s="77">
        <v>189200</v>
      </c>
      <c r="D36" s="1472" t="s">
        <v>464</v>
      </c>
      <c r="E36" s="150">
        <f>SUM(B36:D36)</f>
        <v>189200</v>
      </c>
      <c r="F36" s="134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5" ht="21" customHeight="1">
      <c r="A37" s="367" t="s">
        <v>1166</v>
      </c>
      <c r="B37" s="22"/>
      <c r="C37" s="79"/>
      <c r="D37" s="79"/>
      <c r="E37" s="149"/>
    </row>
    <row r="38" spans="1:5" ht="21" customHeight="1" thickBot="1">
      <c r="A38" s="371" t="s">
        <v>1167</v>
      </c>
      <c r="B38" s="375" t="s">
        <v>464</v>
      </c>
      <c r="C38" s="1474">
        <v>438800</v>
      </c>
      <c r="D38" s="1474" t="s">
        <v>464</v>
      </c>
      <c r="E38" s="1475">
        <f>SUM(B38:D38)</f>
        <v>438800</v>
      </c>
    </row>
    <row r="40" ht="15">
      <c r="A40" s="2379" t="s">
        <v>1624</v>
      </c>
    </row>
  </sheetData>
  <sheetProtection/>
  <printOptions/>
  <pageMargins left="0.89" right="0.984251968503937" top="0.81" bottom="0.984251968503937" header="0.5118110236220472" footer="0.5118110236220472"/>
  <pageSetup horizontalDpi="300" verticalDpi="300" orientation="portrait" paperSize="9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99"/>
  <sheetViews>
    <sheetView zoomScale="60" zoomScaleNormal="60" zoomScalePageLayoutView="0" workbookViewId="0" topLeftCell="A1">
      <pane ySplit="4" topLeftCell="A76" activePane="bottomLeft" state="frozen"/>
      <selection pane="topLeft" activeCell="A1" sqref="A1"/>
      <selection pane="bottomLeft" activeCell="E69" sqref="E69"/>
    </sheetView>
  </sheetViews>
  <sheetFormatPr defaultColWidth="9.7109375" defaultRowHeight="12.75"/>
  <cols>
    <col min="1" max="1" width="49.7109375" style="202" customWidth="1"/>
    <col min="2" max="2" width="33.00390625" style="202" customWidth="1"/>
    <col min="3" max="3" width="36.57421875" style="202" customWidth="1"/>
    <col min="4" max="4" width="33.00390625" style="202" customWidth="1"/>
    <col min="5" max="5" width="35.140625" style="201" customWidth="1"/>
    <col min="6" max="6" width="0" style="202" hidden="1" customWidth="1"/>
    <col min="7" max="22" width="6.7109375" style="202" customWidth="1"/>
    <col min="23" max="16384" width="9.7109375" style="202" customWidth="1"/>
  </cols>
  <sheetData>
    <row r="1" spans="1:5" ht="27.75">
      <c r="A1" s="264" t="s">
        <v>1622</v>
      </c>
      <c r="E1" s="447" t="s">
        <v>936</v>
      </c>
    </row>
    <row r="2" ht="27" thickBot="1">
      <c r="A2" s="201"/>
    </row>
    <row r="3" spans="1:5" ht="26.25">
      <c r="A3" s="448" t="s">
        <v>1057</v>
      </c>
      <c r="B3" s="415" t="s">
        <v>585</v>
      </c>
      <c r="C3" s="415" t="s">
        <v>1058</v>
      </c>
      <c r="D3" s="415" t="s">
        <v>686</v>
      </c>
      <c r="E3" s="415" t="s">
        <v>472</v>
      </c>
    </row>
    <row r="4" spans="1:5" ht="27" thickBot="1">
      <c r="A4" s="449" t="s">
        <v>1061</v>
      </c>
      <c r="B4" s="211" t="s">
        <v>1125</v>
      </c>
      <c r="C4" s="211" t="s">
        <v>1126</v>
      </c>
      <c r="D4" s="211" t="s">
        <v>1127</v>
      </c>
      <c r="E4" s="450" t="s">
        <v>480</v>
      </c>
    </row>
    <row r="5" spans="1:5" ht="28.5" customHeight="1">
      <c r="A5" s="205" t="s">
        <v>1072</v>
      </c>
      <c r="B5" s="451"/>
      <c r="C5" s="451"/>
      <c r="D5" s="451"/>
      <c r="E5" s="452"/>
    </row>
    <row r="6" spans="1:5" ht="28.5" customHeight="1" hidden="1">
      <c r="A6" s="453"/>
      <c r="B6" s="207"/>
      <c r="C6" s="207"/>
      <c r="D6" s="207"/>
      <c r="E6" s="208"/>
    </row>
    <row r="7" spans="1:5" ht="28.5" customHeight="1">
      <c r="A7" s="454" t="s">
        <v>189</v>
      </c>
      <c r="B7" s="456" t="s">
        <v>464</v>
      </c>
      <c r="C7" s="455">
        <v>700000</v>
      </c>
      <c r="D7" s="456" t="s">
        <v>464</v>
      </c>
      <c r="E7" s="457">
        <f aca="true" t="shared" si="0" ref="E7:E14">SUM(B7:D7)</f>
        <v>700000</v>
      </c>
    </row>
    <row r="8" spans="1:5" ht="28.5" customHeight="1" hidden="1">
      <c r="A8" s="454" t="s">
        <v>189</v>
      </c>
      <c r="B8" s="207"/>
      <c r="C8" s="207"/>
      <c r="D8" s="207"/>
      <c r="E8" s="457">
        <f t="shared" si="0"/>
        <v>0</v>
      </c>
    </row>
    <row r="9" spans="1:5" ht="28.5" customHeight="1">
      <c r="A9" s="454" t="s">
        <v>190</v>
      </c>
      <c r="B9" s="734" t="s">
        <v>464</v>
      </c>
      <c r="C9" s="207">
        <v>33844636</v>
      </c>
      <c r="D9" s="207">
        <v>24000</v>
      </c>
      <c r="E9" s="457">
        <f t="shared" si="0"/>
        <v>33868636</v>
      </c>
    </row>
    <row r="10" spans="1:5" ht="28.5" customHeight="1">
      <c r="A10" s="1129" t="s">
        <v>395</v>
      </c>
      <c r="B10" s="488">
        <v>6498</v>
      </c>
      <c r="C10" s="488">
        <v>65910</v>
      </c>
      <c r="D10" s="488">
        <v>12300</v>
      </c>
      <c r="E10" s="457">
        <f t="shared" si="0"/>
        <v>84708</v>
      </c>
    </row>
    <row r="11" spans="1:5" ht="28.5" customHeight="1">
      <c r="A11" s="454" t="s">
        <v>1305</v>
      </c>
      <c r="B11" s="487" t="s">
        <v>464</v>
      </c>
      <c r="C11" s="488">
        <v>94480111</v>
      </c>
      <c r="D11" s="487" t="s">
        <v>464</v>
      </c>
      <c r="E11" s="457">
        <f t="shared" si="0"/>
        <v>94480111</v>
      </c>
    </row>
    <row r="12" spans="1:5" ht="28.5" customHeight="1" hidden="1">
      <c r="A12" s="454" t="s">
        <v>1305</v>
      </c>
      <c r="B12" s="207"/>
      <c r="C12" s="207"/>
      <c r="D12" s="207"/>
      <c r="E12" s="457">
        <f t="shared" si="0"/>
        <v>0</v>
      </c>
    </row>
    <row r="13" spans="1:5" ht="28.5" customHeight="1">
      <c r="A13" s="453" t="s">
        <v>1627</v>
      </c>
      <c r="B13" s="734" t="s">
        <v>464</v>
      </c>
      <c r="C13" s="734" t="s">
        <v>464</v>
      </c>
      <c r="D13" s="734" t="s">
        <v>464</v>
      </c>
      <c r="E13" s="2534" t="s">
        <v>464</v>
      </c>
    </row>
    <row r="14" spans="1:256" ht="28.5" customHeight="1">
      <c r="A14" s="1919" t="s">
        <v>754</v>
      </c>
      <c r="B14" s="488">
        <v>1000</v>
      </c>
      <c r="C14" s="487"/>
      <c r="D14" s="487" t="s">
        <v>464</v>
      </c>
      <c r="E14" s="467">
        <f t="shared" si="0"/>
        <v>1000</v>
      </c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59"/>
      <c r="AL14" s="459"/>
      <c r="AM14" s="459"/>
      <c r="AN14" s="459"/>
      <c r="AO14" s="459"/>
      <c r="AP14" s="459"/>
      <c r="AQ14" s="459"/>
      <c r="AR14" s="459"/>
      <c r="AS14" s="459"/>
      <c r="AT14" s="459"/>
      <c r="AU14" s="459"/>
      <c r="AV14" s="459"/>
      <c r="AW14" s="459"/>
      <c r="AX14" s="459"/>
      <c r="AY14" s="459"/>
      <c r="AZ14" s="459"/>
      <c r="BA14" s="459"/>
      <c r="BB14" s="459"/>
      <c r="BC14" s="459"/>
      <c r="BD14" s="459"/>
      <c r="BE14" s="459"/>
      <c r="BF14" s="459"/>
      <c r="BG14" s="459"/>
      <c r="BH14" s="459"/>
      <c r="BI14" s="459"/>
      <c r="BJ14" s="459"/>
      <c r="BK14" s="459"/>
      <c r="BL14" s="459"/>
      <c r="BM14" s="459"/>
      <c r="BN14" s="459"/>
      <c r="BO14" s="459"/>
      <c r="BP14" s="459"/>
      <c r="BQ14" s="459"/>
      <c r="BR14" s="459"/>
      <c r="BS14" s="459"/>
      <c r="BT14" s="459"/>
      <c r="BU14" s="459"/>
      <c r="BV14" s="459"/>
      <c r="BW14" s="459"/>
      <c r="BX14" s="459"/>
      <c r="BY14" s="459"/>
      <c r="BZ14" s="459"/>
      <c r="CA14" s="459"/>
      <c r="CB14" s="459"/>
      <c r="CC14" s="459"/>
      <c r="CD14" s="459"/>
      <c r="CE14" s="459"/>
      <c r="CF14" s="459"/>
      <c r="CG14" s="459"/>
      <c r="CH14" s="459"/>
      <c r="CI14" s="459"/>
      <c r="CJ14" s="459"/>
      <c r="CK14" s="459"/>
      <c r="CL14" s="459"/>
      <c r="CM14" s="459"/>
      <c r="CN14" s="459"/>
      <c r="CO14" s="459"/>
      <c r="CP14" s="459"/>
      <c r="CQ14" s="459"/>
      <c r="CR14" s="459"/>
      <c r="CS14" s="459"/>
      <c r="CT14" s="459"/>
      <c r="CU14" s="459"/>
      <c r="CV14" s="459"/>
      <c r="CW14" s="459"/>
      <c r="CX14" s="459"/>
      <c r="CY14" s="459"/>
      <c r="CZ14" s="459"/>
      <c r="DA14" s="459"/>
      <c r="DB14" s="459"/>
      <c r="DC14" s="459"/>
      <c r="DD14" s="459"/>
      <c r="DE14" s="459"/>
      <c r="DF14" s="459"/>
      <c r="DG14" s="459"/>
      <c r="DH14" s="459"/>
      <c r="DI14" s="459"/>
      <c r="DJ14" s="459"/>
      <c r="DK14" s="459"/>
      <c r="DL14" s="459"/>
      <c r="DM14" s="459"/>
      <c r="DN14" s="459"/>
      <c r="DO14" s="459"/>
      <c r="DP14" s="459"/>
      <c r="DQ14" s="459"/>
      <c r="DR14" s="459"/>
      <c r="DS14" s="459"/>
      <c r="DT14" s="459"/>
      <c r="DU14" s="459"/>
      <c r="DV14" s="459"/>
      <c r="DW14" s="459"/>
      <c r="DX14" s="459"/>
      <c r="DY14" s="459"/>
      <c r="DZ14" s="459"/>
      <c r="EA14" s="459"/>
      <c r="EB14" s="459"/>
      <c r="EC14" s="459"/>
      <c r="ED14" s="459"/>
      <c r="EE14" s="459"/>
      <c r="EF14" s="459"/>
      <c r="EG14" s="459"/>
      <c r="EH14" s="459"/>
      <c r="EI14" s="459"/>
      <c r="EJ14" s="459"/>
      <c r="EK14" s="459"/>
      <c r="EL14" s="459"/>
      <c r="EM14" s="459"/>
      <c r="EN14" s="459"/>
      <c r="EO14" s="459"/>
      <c r="EP14" s="459"/>
      <c r="EQ14" s="459"/>
      <c r="ER14" s="459"/>
      <c r="ES14" s="459"/>
      <c r="ET14" s="459"/>
      <c r="EU14" s="459"/>
      <c r="EV14" s="459"/>
      <c r="EW14" s="459"/>
      <c r="EX14" s="459"/>
      <c r="EY14" s="459"/>
      <c r="EZ14" s="459"/>
      <c r="FA14" s="459"/>
      <c r="FB14" s="459"/>
      <c r="FC14" s="459"/>
      <c r="FD14" s="459"/>
      <c r="FE14" s="459"/>
      <c r="FF14" s="459"/>
      <c r="FG14" s="459"/>
      <c r="FH14" s="459"/>
      <c r="FI14" s="459"/>
      <c r="FJ14" s="459"/>
      <c r="FK14" s="459"/>
      <c r="FL14" s="459"/>
      <c r="FM14" s="459"/>
      <c r="FN14" s="459"/>
      <c r="FO14" s="459"/>
      <c r="FP14" s="459"/>
      <c r="FQ14" s="459"/>
      <c r="FR14" s="459"/>
      <c r="FS14" s="459"/>
      <c r="FT14" s="459"/>
      <c r="FU14" s="459"/>
      <c r="FV14" s="459"/>
      <c r="FW14" s="459"/>
      <c r="FX14" s="459"/>
      <c r="FY14" s="459"/>
      <c r="FZ14" s="459"/>
      <c r="GA14" s="459"/>
      <c r="GB14" s="459"/>
      <c r="GC14" s="459"/>
      <c r="GD14" s="459"/>
      <c r="GE14" s="459"/>
      <c r="GF14" s="459"/>
      <c r="GG14" s="459"/>
      <c r="GH14" s="459"/>
      <c r="GI14" s="459"/>
      <c r="GJ14" s="459"/>
      <c r="GK14" s="459"/>
      <c r="GL14" s="459"/>
      <c r="GM14" s="459"/>
      <c r="GN14" s="459"/>
      <c r="GO14" s="459"/>
      <c r="GP14" s="459"/>
      <c r="GQ14" s="459"/>
      <c r="GR14" s="459"/>
      <c r="GS14" s="459"/>
      <c r="GT14" s="459"/>
      <c r="GU14" s="459"/>
      <c r="GV14" s="459"/>
      <c r="GW14" s="459"/>
      <c r="GX14" s="459"/>
      <c r="GY14" s="459"/>
      <c r="GZ14" s="459"/>
      <c r="HA14" s="459"/>
      <c r="HB14" s="459"/>
      <c r="HC14" s="459"/>
      <c r="HD14" s="459"/>
      <c r="HE14" s="459"/>
      <c r="HF14" s="459"/>
      <c r="HG14" s="459"/>
      <c r="HH14" s="459"/>
      <c r="HI14" s="459"/>
      <c r="HJ14" s="459"/>
      <c r="HK14" s="459"/>
      <c r="HL14" s="459"/>
      <c r="HM14" s="459"/>
      <c r="HN14" s="459"/>
      <c r="HO14" s="459"/>
      <c r="HP14" s="459"/>
      <c r="HQ14" s="459"/>
      <c r="HR14" s="459"/>
      <c r="HS14" s="459"/>
      <c r="HT14" s="459"/>
      <c r="HU14" s="459"/>
      <c r="HV14" s="459"/>
      <c r="HW14" s="459"/>
      <c r="HX14" s="459"/>
      <c r="HY14" s="459"/>
      <c r="HZ14" s="459"/>
      <c r="IA14" s="459"/>
      <c r="IB14" s="459"/>
      <c r="IC14" s="459"/>
      <c r="ID14" s="459"/>
      <c r="IE14" s="459"/>
      <c r="IF14" s="459"/>
      <c r="IG14" s="459"/>
      <c r="IH14" s="459"/>
      <c r="II14" s="459"/>
      <c r="IJ14" s="459"/>
      <c r="IK14" s="459"/>
      <c r="IL14" s="459"/>
      <c r="IM14" s="459"/>
      <c r="IN14" s="459"/>
      <c r="IO14" s="459"/>
      <c r="IP14" s="459"/>
      <c r="IQ14" s="459"/>
      <c r="IR14" s="459"/>
      <c r="IS14" s="459"/>
      <c r="IT14" s="459"/>
      <c r="IU14" s="459"/>
      <c r="IV14" s="459"/>
    </row>
    <row r="15" spans="1:5" ht="28.5" customHeight="1" hidden="1">
      <c r="A15" s="206"/>
      <c r="B15" s="207"/>
      <c r="C15" s="207"/>
      <c r="D15" s="207"/>
      <c r="E15" s="208"/>
    </row>
    <row r="16" spans="1:5" ht="28.5" customHeight="1" hidden="1">
      <c r="A16" s="460"/>
      <c r="B16" s="455"/>
      <c r="C16" s="455"/>
      <c r="D16" s="455"/>
      <c r="E16" s="457"/>
    </row>
    <row r="17" spans="1:5" ht="28.5" customHeight="1" hidden="1">
      <c r="A17" s="206"/>
      <c r="B17" s="207"/>
      <c r="C17" s="207"/>
      <c r="D17" s="207"/>
      <c r="E17" s="208"/>
    </row>
    <row r="18" spans="1:256" ht="28.5" customHeight="1">
      <c r="A18" s="458" t="s">
        <v>755</v>
      </c>
      <c r="B18" s="455">
        <v>71746</v>
      </c>
      <c r="C18" s="455">
        <v>2779758</v>
      </c>
      <c r="D18" s="455">
        <v>9988</v>
      </c>
      <c r="E18" s="457">
        <f>SUM(B18:D18)</f>
        <v>2861492</v>
      </c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459"/>
      <c r="BC18" s="459"/>
      <c r="BD18" s="459"/>
      <c r="BE18" s="459"/>
      <c r="BF18" s="459"/>
      <c r="BG18" s="459"/>
      <c r="BH18" s="459"/>
      <c r="BI18" s="459"/>
      <c r="BJ18" s="459"/>
      <c r="BK18" s="459"/>
      <c r="BL18" s="459"/>
      <c r="BM18" s="459"/>
      <c r="BN18" s="459"/>
      <c r="BO18" s="459"/>
      <c r="BP18" s="459"/>
      <c r="BQ18" s="459"/>
      <c r="BR18" s="459"/>
      <c r="BS18" s="459"/>
      <c r="BT18" s="459"/>
      <c r="BU18" s="459"/>
      <c r="BV18" s="459"/>
      <c r="BW18" s="459"/>
      <c r="BX18" s="459"/>
      <c r="BY18" s="459"/>
      <c r="BZ18" s="459"/>
      <c r="CA18" s="459"/>
      <c r="CB18" s="459"/>
      <c r="CC18" s="459"/>
      <c r="CD18" s="459"/>
      <c r="CE18" s="459"/>
      <c r="CF18" s="459"/>
      <c r="CG18" s="459"/>
      <c r="CH18" s="459"/>
      <c r="CI18" s="459"/>
      <c r="CJ18" s="459"/>
      <c r="CK18" s="459"/>
      <c r="CL18" s="459"/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/>
      <c r="CX18" s="459"/>
      <c r="CY18" s="459"/>
      <c r="CZ18" s="459"/>
      <c r="DA18" s="459"/>
      <c r="DB18" s="459"/>
      <c r="DC18" s="459"/>
      <c r="DD18" s="459"/>
      <c r="DE18" s="459"/>
      <c r="DF18" s="459"/>
      <c r="DG18" s="459"/>
      <c r="DH18" s="459"/>
      <c r="DI18" s="459"/>
      <c r="DJ18" s="459"/>
      <c r="DK18" s="459"/>
      <c r="DL18" s="459"/>
      <c r="DM18" s="459"/>
      <c r="DN18" s="459"/>
      <c r="DO18" s="459"/>
      <c r="DP18" s="459"/>
      <c r="DQ18" s="459"/>
      <c r="DR18" s="459"/>
      <c r="DS18" s="459"/>
      <c r="DT18" s="459"/>
      <c r="DU18" s="459"/>
      <c r="DV18" s="459"/>
      <c r="DW18" s="459"/>
      <c r="DX18" s="459"/>
      <c r="DY18" s="459"/>
      <c r="DZ18" s="459"/>
      <c r="EA18" s="459"/>
      <c r="EB18" s="459"/>
      <c r="EC18" s="459"/>
      <c r="ED18" s="459"/>
      <c r="EE18" s="459"/>
      <c r="EF18" s="459"/>
      <c r="EG18" s="459"/>
      <c r="EH18" s="459"/>
      <c r="EI18" s="459"/>
      <c r="EJ18" s="459"/>
      <c r="EK18" s="459"/>
      <c r="EL18" s="459"/>
      <c r="EM18" s="459"/>
      <c r="EN18" s="459"/>
      <c r="EO18" s="459"/>
      <c r="EP18" s="459"/>
      <c r="EQ18" s="459"/>
      <c r="ER18" s="459"/>
      <c r="ES18" s="459"/>
      <c r="ET18" s="459"/>
      <c r="EU18" s="459"/>
      <c r="EV18" s="459"/>
      <c r="EW18" s="459"/>
      <c r="EX18" s="459"/>
      <c r="EY18" s="459"/>
      <c r="EZ18" s="459"/>
      <c r="FA18" s="459"/>
      <c r="FB18" s="459"/>
      <c r="FC18" s="459"/>
      <c r="FD18" s="459"/>
      <c r="FE18" s="459"/>
      <c r="FF18" s="459"/>
      <c r="FG18" s="459"/>
      <c r="FH18" s="459"/>
      <c r="FI18" s="459"/>
      <c r="FJ18" s="459"/>
      <c r="FK18" s="459"/>
      <c r="FL18" s="459"/>
      <c r="FM18" s="459"/>
      <c r="FN18" s="459"/>
      <c r="FO18" s="459"/>
      <c r="FP18" s="459"/>
      <c r="FQ18" s="459"/>
      <c r="FR18" s="459"/>
      <c r="FS18" s="459"/>
      <c r="FT18" s="459"/>
      <c r="FU18" s="459"/>
      <c r="FV18" s="459"/>
      <c r="FW18" s="459"/>
      <c r="FX18" s="459"/>
      <c r="FY18" s="459"/>
      <c r="FZ18" s="459"/>
      <c r="GA18" s="459"/>
      <c r="GB18" s="459"/>
      <c r="GC18" s="459"/>
      <c r="GD18" s="459"/>
      <c r="GE18" s="459"/>
      <c r="GF18" s="459"/>
      <c r="GG18" s="459"/>
      <c r="GH18" s="459"/>
      <c r="GI18" s="459"/>
      <c r="GJ18" s="459"/>
      <c r="GK18" s="459"/>
      <c r="GL18" s="459"/>
      <c r="GM18" s="459"/>
      <c r="GN18" s="459"/>
      <c r="GO18" s="459"/>
      <c r="GP18" s="459"/>
      <c r="GQ18" s="459"/>
      <c r="GR18" s="459"/>
      <c r="GS18" s="459"/>
      <c r="GT18" s="459"/>
      <c r="GU18" s="459"/>
      <c r="GV18" s="459"/>
      <c r="GW18" s="459"/>
      <c r="GX18" s="459"/>
      <c r="GY18" s="459"/>
      <c r="GZ18" s="459"/>
      <c r="HA18" s="459"/>
      <c r="HB18" s="459"/>
      <c r="HC18" s="459"/>
      <c r="HD18" s="459"/>
      <c r="HE18" s="459"/>
      <c r="HF18" s="459"/>
      <c r="HG18" s="459"/>
      <c r="HH18" s="459"/>
      <c r="HI18" s="459"/>
      <c r="HJ18" s="459"/>
      <c r="HK18" s="459"/>
      <c r="HL18" s="459"/>
      <c r="HM18" s="459"/>
      <c r="HN18" s="459"/>
      <c r="HO18" s="459"/>
      <c r="HP18" s="459"/>
      <c r="HQ18" s="459"/>
      <c r="HR18" s="459"/>
      <c r="HS18" s="459"/>
      <c r="HT18" s="459"/>
      <c r="HU18" s="459"/>
      <c r="HV18" s="459"/>
      <c r="HW18" s="459"/>
      <c r="HX18" s="459"/>
      <c r="HY18" s="459"/>
      <c r="HZ18" s="459"/>
      <c r="IA18" s="459"/>
      <c r="IB18" s="459"/>
      <c r="IC18" s="459"/>
      <c r="ID18" s="459"/>
      <c r="IE18" s="459"/>
      <c r="IF18" s="459"/>
      <c r="IG18" s="459"/>
      <c r="IH18" s="459"/>
      <c r="II18" s="459"/>
      <c r="IJ18" s="459"/>
      <c r="IK18" s="459"/>
      <c r="IL18" s="459"/>
      <c r="IM18" s="459"/>
      <c r="IN18" s="459"/>
      <c r="IO18" s="459"/>
      <c r="IP18" s="459"/>
      <c r="IQ18" s="459"/>
      <c r="IR18" s="459"/>
      <c r="IS18" s="459"/>
      <c r="IT18" s="459"/>
      <c r="IU18" s="459"/>
      <c r="IV18" s="459"/>
    </row>
    <row r="19" spans="1:5" ht="28.5" customHeight="1" hidden="1">
      <c r="A19" s="206"/>
      <c r="B19" s="207"/>
      <c r="C19" s="207"/>
      <c r="D19" s="207"/>
      <c r="E19" s="208"/>
    </row>
    <row r="20" spans="1:5" ht="28.5" customHeight="1">
      <c r="A20" s="458" t="s">
        <v>756</v>
      </c>
      <c r="B20" s="455">
        <v>154334</v>
      </c>
      <c r="C20" s="455">
        <v>763902</v>
      </c>
      <c r="D20" s="455">
        <v>69572</v>
      </c>
      <c r="E20" s="457">
        <f>SUM(B20:D20)</f>
        <v>987808</v>
      </c>
    </row>
    <row r="21" spans="1:5" ht="28.5" customHeight="1" hidden="1">
      <c r="A21" s="206"/>
      <c r="B21" s="207"/>
      <c r="C21" s="207"/>
      <c r="D21" s="207"/>
      <c r="E21" s="208"/>
    </row>
    <row r="22" spans="1:5" ht="28.5" customHeight="1">
      <c r="A22" s="458" t="s">
        <v>757</v>
      </c>
      <c r="B22" s="456" t="s">
        <v>464</v>
      </c>
      <c r="C22" s="456">
        <v>42598635</v>
      </c>
      <c r="D22" s="456" t="s">
        <v>464</v>
      </c>
      <c r="E22" s="457">
        <f>SUM(B22:D22)</f>
        <v>42598635</v>
      </c>
    </row>
    <row r="23" spans="1:5" ht="28.5" customHeight="1" hidden="1">
      <c r="A23" s="461"/>
      <c r="B23" s="462"/>
      <c r="C23" s="462"/>
      <c r="D23" s="456" t="s">
        <v>464</v>
      </c>
      <c r="E23" s="457">
        <f>SUM(B23:D23)</f>
        <v>0</v>
      </c>
    </row>
    <row r="24" spans="1:5" ht="28.5" customHeight="1" hidden="1">
      <c r="A24" s="463"/>
      <c r="B24" s="464"/>
      <c r="C24" s="464"/>
      <c r="D24" s="456" t="s">
        <v>464</v>
      </c>
      <c r="E24" s="457">
        <f>SUM(B24:D24)</f>
        <v>0</v>
      </c>
    </row>
    <row r="25" spans="1:5" ht="28.5" customHeight="1">
      <c r="A25" s="463" t="s">
        <v>191</v>
      </c>
      <c r="B25" s="464">
        <v>4120</v>
      </c>
      <c r="C25" s="464">
        <v>125774</v>
      </c>
      <c r="D25" s="456" t="s">
        <v>464</v>
      </c>
      <c r="E25" s="457">
        <f>SUM(B25:D25)</f>
        <v>129894</v>
      </c>
    </row>
    <row r="26" spans="1:5" ht="28.5" customHeight="1">
      <c r="A26" s="463" t="s">
        <v>758</v>
      </c>
      <c r="B26" s="464">
        <v>40325</v>
      </c>
      <c r="C26" s="464">
        <v>847467</v>
      </c>
      <c r="D26" s="464">
        <v>1240350</v>
      </c>
      <c r="E26" s="465">
        <f>SUM(B26:D26)</f>
        <v>2128142</v>
      </c>
    </row>
    <row r="27" spans="1:5" ht="28.5" customHeight="1" hidden="1">
      <c r="A27" s="206"/>
      <c r="B27" s="207"/>
      <c r="C27" s="207"/>
      <c r="D27" s="207"/>
      <c r="E27" s="208"/>
    </row>
    <row r="28" spans="1:5" ht="28.5" customHeight="1">
      <c r="A28" s="458" t="s">
        <v>762</v>
      </c>
      <c r="B28" s="455">
        <v>93502</v>
      </c>
      <c r="C28" s="455">
        <v>64194</v>
      </c>
      <c r="D28" s="456">
        <v>35825</v>
      </c>
      <c r="E28" s="457">
        <f>SUM(B28:D28)</f>
        <v>193521</v>
      </c>
    </row>
    <row r="29" spans="1:256" ht="28.5" customHeight="1">
      <c r="A29" s="466" t="s">
        <v>1168</v>
      </c>
      <c r="B29" s="434">
        <f>SUM(B7:B28)</f>
        <v>371525</v>
      </c>
      <c r="C29" s="434">
        <f>SUM(C7:C28)</f>
        <v>176270387</v>
      </c>
      <c r="D29" s="434">
        <f>SUM(D7:D28)</f>
        <v>1392035</v>
      </c>
      <c r="E29" s="467">
        <f>SUM(E7:E28)</f>
        <v>178033947</v>
      </c>
      <c r="F29" s="203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  <c r="FJ29" s="204"/>
      <c r="FK29" s="204"/>
      <c r="FL29" s="204"/>
      <c r="FM29" s="204"/>
      <c r="FN29" s="204"/>
      <c r="FO29" s="204"/>
      <c r="FP29" s="204"/>
      <c r="FQ29" s="204"/>
      <c r="FR29" s="204"/>
      <c r="FS29" s="204"/>
      <c r="FT29" s="204"/>
      <c r="FU29" s="204"/>
      <c r="FV29" s="204"/>
      <c r="FW29" s="204"/>
      <c r="FX29" s="204"/>
      <c r="FY29" s="204"/>
      <c r="FZ29" s="204"/>
      <c r="GA29" s="204"/>
      <c r="GB29" s="204"/>
      <c r="GC29" s="204"/>
      <c r="GD29" s="204"/>
      <c r="GE29" s="204"/>
      <c r="GF29" s="204"/>
      <c r="GG29" s="204"/>
      <c r="GH29" s="204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4"/>
      <c r="IR29" s="204"/>
      <c r="IS29" s="204"/>
      <c r="IT29" s="204"/>
      <c r="IU29" s="204"/>
      <c r="IV29" s="204"/>
    </row>
    <row r="30" spans="1:256" ht="28.5" customHeight="1" thickBot="1">
      <c r="A30" s="209"/>
      <c r="B30" s="438"/>
      <c r="C30" s="438"/>
      <c r="D30" s="438"/>
      <c r="E30" s="442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201"/>
      <c r="GL30" s="201"/>
      <c r="GM30" s="201"/>
      <c r="GN30" s="201"/>
      <c r="GO30" s="201"/>
      <c r="GP30" s="201"/>
      <c r="GQ30" s="201"/>
      <c r="GR30" s="201"/>
      <c r="GS30" s="201"/>
      <c r="GT30" s="201"/>
      <c r="GU30" s="201"/>
      <c r="GV30" s="201"/>
      <c r="GW30" s="201"/>
      <c r="GX30" s="201"/>
      <c r="GY30" s="201"/>
      <c r="GZ30" s="201"/>
      <c r="HA30" s="201"/>
      <c r="HB30" s="201"/>
      <c r="HC30" s="201"/>
      <c r="HD30" s="201"/>
      <c r="HE30" s="201"/>
      <c r="HF30" s="201"/>
      <c r="HG30" s="201"/>
      <c r="HH30" s="201"/>
      <c r="HI30" s="201"/>
      <c r="HJ30" s="201"/>
      <c r="HK30" s="201"/>
      <c r="HL30" s="201"/>
      <c r="HM30" s="201"/>
      <c r="HN30" s="201"/>
      <c r="HO30" s="201"/>
      <c r="HP30" s="201"/>
      <c r="HQ30" s="201"/>
      <c r="HR30" s="201"/>
      <c r="HS30" s="201"/>
      <c r="HT30" s="201"/>
      <c r="HU30" s="201"/>
      <c r="HV30" s="201"/>
      <c r="HW30" s="201"/>
      <c r="HX30" s="201"/>
      <c r="HY30" s="201"/>
      <c r="HZ30" s="201"/>
      <c r="IA30" s="201"/>
      <c r="IB30" s="201"/>
      <c r="IC30" s="201"/>
      <c r="ID30" s="201"/>
      <c r="IE30" s="201"/>
      <c r="IF30" s="201"/>
      <c r="IG30" s="201"/>
      <c r="IH30" s="201"/>
      <c r="II30" s="201"/>
      <c r="IJ30" s="201"/>
      <c r="IK30" s="201"/>
      <c r="IL30" s="201"/>
      <c r="IM30" s="201"/>
      <c r="IN30" s="201"/>
      <c r="IO30" s="201"/>
      <c r="IP30" s="201"/>
      <c r="IQ30" s="201"/>
      <c r="IR30" s="201"/>
      <c r="IS30" s="201"/>
      <c r="IT30" s="201"/>
      <c r="IU30" s="201"/>
      <c r="IV30" s="201"/>
    </row>
    <row r="31" spans="1:5" ht="28.5" customHeight="1">
      <c r="A31" s="468" t="s">
        <v>1169</v>
      </c>
      <c r="B31" s="427"/>
      <c r="C31" s="427"/>
      <c r="D31" s="427"/>
      <c r="E31" s="469"/>
    </row>
    <row r="32" spans="1:5" ht="28.5" customHeight="1" hidden="1">
      <c r="A32" s="470"/>
      <c r="B32" s="207"/>
      <c r="C32" s="207"/>
      <c r="D32" s="207"/>
      <c r="E32" s="471"/>
    </row>
    <row r="33" spans="1:5" ht="28.5" customHeight="1">
      <c r="A33" s="472" t="s">
        <v>415</v>
      </c>
      <c r="B33" s="455">
        <v>22166</v>
      </c>
      <c r="C33" s="455">
        <v>251843</v>
      </c>
      <c r="D33" s="456">
        <v>10100</v>
      </c>
      <c r="E33" s="473">
        <f>SUM(B33:D33)</f>
        <v>284109</v>
      </c>
    </row>
    <row r="34" spans="1:5" ht="28.5" customHeight="1" hidden="1">
      <c r="A34" s="470"/>
      <c r="B34" s="207"/>
      <c r="C34" s="207"/>
      <c r="D34" s="207"/>
      <c r="E34" s="471"/>
    </row>
    <row r="35" spans="1:5" ht="28.5" customHeight="1">
      <c r="A35" s="472" t="s">
        <v>416</v>
      </c>
      <c r="B35" s="455">
        <v>39171</v>
      </c>
      <c r="C35" s="455">
        <v>440077</v>
      </c>
      <c r="D35" s="455">
        <v>35680</v>
      </c>
      <c r="E35" s="473">
        <f>SUM(B35:D35)</f>
        <v>514928</v>
      </c>
    </row>
    <row r="36" spans="1:5" ht="28.5" customHeight="1" hidden="1">
      <c r="A36" s="470"/>
      <c r="B36" s="207"/>
      <c r="C36" s="207"/>
      <c r="D36" s="207"/>
      <c r="E36" s="471"/>
    </row>
    <row r="37" spans="1:5" ht="28.5" customHeight="1">
      <c r="A37" s="472" t="s">
        <v>417</v>
      </c>
      <c r="B37" s="456"/>
      <c r="C37" s="455">
        <v>74860</v>
      </c>
      <c r="D37" s="456" t="s">
        <v>464</v>
      </c>
      <c r="E37" s="473">
        <f>SUM(B37:D37)</f>
        <v>74860</v>
      </c>
    </row>
    <row r="38" spans="1:5" ht="28.5" customHeight="1" hidden="1">
      <c r="A38" s="470"/>
      <c r="B38" s="207"/>
      <c r="C38" s="207"/>
      <c r="D38" s="207"/>
      <c r="E38" s="471"/>
    </row>
    <row r="39" spans="1:5" ht="28.5" customHeight="1" hidden="1">
      <c r="A39" s="486"/>
      <c r="B39" s="487"/>
      <c r="C39" s="487"/>
      <c r="D39" s="487"/>
      <c r="E39" s="489"/>
    </row>
    <row r="40" spans="1:5" ht="28.5" customHeight="1" hidden="1">
      <c r="A40" s="474"/>
      <c r="B40" s="475"/>
      <c r="C40" s="475"/>
      <c r="D40" s="475"/>
      <c r="E40" s="476"/>
    </row>
    <row r="41" spans="1:5" ht="28.5" customHeight="1">
      <c r="A41" s="472" t="s">
        <v>418</v>
      </c>
      <c r="B41" s="456">
        <v>12085</v>
      </c>
      <c r="C41" s="455">
        <v>451853</v>
      </c>
      <c r="D41" s="455">
        <v>860</v>
      </c>
      <c r="E41" s="473">
        <f>SUM(B41:D41)</f>
        <v>464798</v>
      </c>
    </row>
    <row r="42" spans="1:256" ht="28.5" customHeight="1" hidden="1">
      <c r="A42" s="470"/>
      <c r="B42" s="207"/>
      <c r="C42" s="207"/>
      <c r="D42" s="207"/>
      <c r="E42" s="471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  <c r="EY42" s="203"/>
      <c r="EZ42" s="203"/>
      <c r="FA42" s="203"/>
      <c r="FB42" s="203"/>
      <c r="FC42" s="203"/>
      <c r="FD42" s="203"/>
      <c r="FE42" s="203"/>
      <c r="FF42" s="203"/>
      <c r="FG42" s="203"/>
      <c r="FH42" s="203"/>
      <c r="FI42" s="203"/>
      <c r="FJ42" s="203"/>
      <c r="FK42" s="203"/>
      <c r="FL42" s="203"/>
      <c r="FM42" s="203"/>
      <c r="FN42" s="203"/>
      <c r="FO42" s="203"/>
      <c r="FP42" s="203"/>
      <c r="FQ42" s="203"/>
      <c r="FR42" s="203"/>
      <c r="FS42" s="203"/>
      <c r="FT42" s="203"/>
      <c r="FU42" s="203"/>
      <c r="FV42" s="203"/>
      <c r="FW42" s="203"/>
      <c r="FX42" s="203"/>
      <c r="FY42" s="203"/>
      <c r="FZ42" s="203"/>
      <c r="GA42" s="203"/>
      <c r="GB42" s="203"/>
      <c r="GC42" s="203"/>
      <c r="GD42" s="203"/>
      <c r="GE42" s="203"/>
      <c r="GF42" s="203"/>
      <c r="GG42" s="203"/>
      <c r="GH42" s="203"/>
      <c r="GI42" s="203"/>
      <c r="GJ42" s="203"/>
      <c r="GK42" s="203"/>
      <c r="GL42" s="203"/>
      <c r="GM42" s="203"/>
      <c r="GN42" s="203"/>
      <c r="GO42" s="203"/>
      <c r="GP42" s="203"/>
      <c r="GQ42" s="203"/>
      <c r="GR42" s="203"/>
      <c r="GS42" s="203"/>
      <c r="GT42" s="203"/>
      <c r="GU42" s="203"/>
      <c r="GV42" s="203"/>
      <c r="GW42" s="203"/>
      <c r="GX42" s="203"/>
      <c r="GY42" s="203"/>
      <c r="GZ42" s="203"/>
      <c r="HA42" s="203"/>
      <c r="HB42" s="203"/>
      <c r="HC42" s="203"/>
      <c r="HD42" s="203"/>
      <c r="HE42" s="203"/>
      <c r="HF42" s="203"/>
      <c r="HG42" s="203"/>
      <c r="HH42" s="203"/>
      <c r="HI42" s="203"/>
      <c r="HJ42" s="203"/>
      <c r="HK42" s="203"/>
      <c r="HL42" s="203"/>
      <c r="HM42" s="203"/>
      <c r="HN42" s="203"/>
      <c r="HO42" s="203"/>
      <c r="HP42" s="203"/>
      <c r="HQ42" s="203"/>
      <c r="HR42" s="203"/>
      <c r="HS42" s="203"/>
      <c r="HT42" s="203"/>
      <c r="HU42" s="203"/>
      <c r="HV42" s="203"/>
      <c r="HW42" s="203"/>
      <c r="HX42" s="203"/>
      <c r="HY42" s="203"/>
      <c r="HZ42" s="203"/>
      <c r="IA42" s="203"/>
      <c r="IB42" s="203"/>
      <c r="IC42" s="203"/>
      <c r="ID42" s="203"/>
      <c r="IE42" s="203"/>
      <c r="IF42" s="203"/>
      <c r="IG42" s="203"/>
      <c r="IH42" s="203"/>
      <c r="II42" s="203"/>
      <c r="IJ42" s="203"/>
      <c r="IK42" s="203"/>
      <c r="IL42" s="203"/>
      <c r="IM42" s="203"/>
      <c r="IN42" s="203"/>
      <c r="IO42" s="203"/>
      <c r="IP42" s="203"/>
      <c r="IQ42" s="203"/>
      <c r="IR42" s="203"/>
      <c r="IS42" s="203"/>
      <c r="IT42" s="203"/>
      <c r="IU42" s="203"/>
      <c r="IV42" s="203"/>
    </row>
    <row r="43" spans="1:5" ht="28.5" customHeight="1">
      <c r="A43" s="472" t="s">
        <v>419</v>
      </c>
      <c r="B43" s="456" t="s">
        <v>464</v>
      </c>
      <c r="C43" s="455">
        <v>145909</v>
      </c>
      <c r="D43" s="456">
        <v>830</v>
      </c>
      <c r="E43" s="473">
        <f>SUM(B43:D43)</f>
        <v>146739</v>
      </c>
    </row>
    <row r="44" spans="1:5" ht="28.5" customHeight="1">
      <c r="A44" s="477" t="s">
        <v>473</v>
      </c>
      <c r="B44" s="478">
        <f>SUM(B33:B43)</f>
        <v>73422</v>
      </c>
      <c r="C44" s="478">
        <f>SUM(C33:C43)</f>
        <v>1364542</v>
      </c>
      <c r="D44" s="478">
        <f>SUM(D33:D43)</f>
        <v>47470</v>
      </c>
      <c r="E44" s="479">
        <f>SUM(E33:E43)</f>
        <v>1485434</v>
      </c>
    </row>
    <row r="45" spans="1:5" ht="28.5" customHeight="1" thickBot="1">
      <c r="A45" s="470"/>
      <c r="B45" s="427"/>
      <c r="C45" s="427"/>
      <c r="D45" s="427"/>
      <c r="E45" s="469"/>
    </row>
    <row r="46" spans="1:5" ht="28.5" customHeight="1">
      <c r="A46" s="205" t="s">
        <v>1507</v>
      </c>
      <c r="B46" s="440"/>
      <c r="C46" s="440"/>
      <c r="D46" s="440"/>
      <c r="E46" s="441"/>
    </row>
    <row r="47" spans="1:5" ht="28.5" customHeight="1" hidden="1">
      <c r="A47" s="453"/>
      <c r="B47" s="207"/>
      <c r="C47" s="207"/>
      <c r="D47" s="207"/>
      <c r="E47" s="208"/>
    </row>
    <row r="48" spans="1:5" ht="28.5" customHeight="1">
      <c r="A48" s="490" t="s">
        <v>420</v>
      </c>
      <c r="B48" s="488">
        <v>59877</v>
      </c>
      <c r="C48" s="487" t="s">
        <v>464</v>
      </c>
      <c r="D48" s="487" t="s">
        <v>464</v>
      </c>
      <c r="E48" s="467">
        <f>SUM(B48:D48)</f>
        <v>59877</v>
      </c>
    </row>
    <row r="49" spans="1:5" ht="28.5" customHeight="1" hidden="1">
      <c r="A49" s="453"/>
      <c r="B49" s="207"/>
      <c r="C49" s="207"/>
      <c r="D49" s="487" t="s">
        <v>464</v>
      </c>
      <c r="E49" s="208"/>
    </row>
    <row r="50" spans="1:5" ht="28.5" customHeight="1">
      <c r="A50" s="490" t="s">
        <v>421</v>
      </c>
      <c r="B50" s="488">
        <v>114906</v>
      </c>
      <c r="C50" s="488">
        <v>519248</v>
      </c>
      <c r="D50" s="487" t="s">
        <v>464</v>
      </c>
      <c r="E50" s="467">
        <f>SUM(B50:D50)</f>
        <v>634154</v>
      </c>
    </row>
    <row r="51" spans="1:5" ht="28.5" customHeight="1" hidden="1">
      <c r="A51" s="206"/>
      <c r="B51" s="207"/>
      <c r="C51" s="207"/>
      <c r="D51" s="487" t="s">
        <v>464</v>
      </c>
      <c r="E51" s="208"/>
    </row>
    <row r="52" spans="1:5" ht="28.5" customHeight="1">
      <c r="A52" s="206" t="s">
        <v>1304</v>
      </c>
      <c r="B52" s="456">
        <v>3278</v>
      </c>
      <c r="C52" s="455">
        <v>1236898</v>
      </c>
      <c r="D52" s="487" t="s">
        <v>464</v>
      </c>
      <c r="E52" s="457">
        <f>SUM(B52:D52)</f>
        <v>1240176</v>
      </c>
    </row>
    <row r="53" spans="1:5" ht="28.5" customHeight="1" hidden="1">
      <c r="A53" s="480"/>
      <c r="B53" s="475"/>
      <c r="C53" s="475"/>
      <c r="D53" s="487" t="s">
        <v>464</v>
      </c>
      <c r="E53" s="481"/>
    </row>
    <row r="54" spans="1:5" ht="28.5" customHeight="1">
      <c r="A54" s="480" t="s">
        <v>763</v>
      </c>
      <c r="B54" s="1986" t="s">
        <v>464</v>
      </c>
      <c r="C54" s="1986" t="s">
        <v>464</v>
      </c>
      <c r="D54" s="1987" t="s">
        <v>464</v>
      </c>
      <c r="E54" s="1988" t="s">
        <v>464</v>
      </c>
    </row>
    <row r="55" spans="1:256" ht="28.5" customHeight="1" hidden="1">
      <c r="A55" s="480"/>
      <c r="B55" s="475"/>
      <c r="C55" s="475"/>
      <c r="D55" s="487" t="s">
        <v>464</v>
      </c>
      <c r="E55" s="481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203"/>
      <c r="EU55" s="203"/>
      <c r="EV55" s="203"/>
      <c r="EW55" s="203"/>
      <c r="EX55" s="203"/>
      <c r="EY55" s="203"/>
      <c r="EZ55" s="203"/>
      <c r="FA55" s="203"/>
      <c r="FB55" s="203"/>
      <c r="FC55" s="203"/>
      <c r="FD55" s="203"/>
      <c r="FE55" s="203"/>
      <c r="FF55" s="203"/>
      <c r="FG55" s="203"/>
      <c r="FH55" s="203"/>
      <c r="FI55" s="203"/>
      <c r="FJ55" s="203"/>
      <c r="FK55" s="203"/>
      <c r="FL55" s="203"/>
      <c r="FM55" s="203"/>
      <c r="FN55" s="203"/>
      <c r="FO55" s="203"/>
      <c r="FP55" s="203"/>
      <c r="FQ55" s="203"/>
      <c r="FR55" s="203"/>
      <c r="FS55" s="203"/>
      <c r="FT55" s="203"/>
      <c r="FU55" s="203"/>
      <c r="FV55" s="203"/>
      <c r="FW55" s="203"/>
      <c r="FX55" s="203"/>
      <c r="FY55" s="203"/>
      <c r="FZ55" s="203"/>
      <c r="GA55" s="203"/>
      <c r="GB55" s="203"/>
      <c r="GC55" s="203"/>
      <c r="GD55" s="203"/>
      <c r="GE55" s="203"/>
      <c r="GF55" s="203"/>
      <c r="GG55" s="203"/>
      <c r="GH55" s="203"/>
      <c r="GI55" s="203"/>
      <c r="GJ55" s="203"/>
      <c r="GK55" s="203"/>
      <c r="GL55" s="203"/>
      <c r="GM55" s="203"/>
      <c r="GN55" s="203"/>
      <c r="GO55" s="203"/>
      <c r="GP55" s="203"/>
      <c r="GQ55" s="203"/>
      <c r="GR55" s="203"/>
      <c r="GS55" s="203"/>
      <c r="GT55" s="203"/>
      <c r="GU55" s="203"/>
      <c r="GV55" s="203"/>
      <c r="GW55" s="203"/>
      <c r="GX55" s="203"/>
      <c r="GY55" s="203"/>
      <c r="GZ55" s="203"/>
      <c r="HA55" s="203"/>
      <c r="HB55" s="203"/>
      <c r="HC55" s="203"/>
      <c r="HD55" s="203"/>
      <c r="HE55" s="203"/>
      <c r="HF55" s="203"/>
      <c r="HG55" s="203"/>
      <c r="HH55" s="203"/>
      <c r="HI55" s="203"/>
      <c r="HJ55" s="203"/>
      <c r="HK55" s="203"/>
      <c r="HL55" s="203"/>
      <c r="HM55" s="203"/>
      <c r="HN55" s="203"/>
      <c r="HO55" s="203"/>
      <c r="HP55" s="203"/>
      <c r="HQ55" s="203"/>
      <c r="HR55" s="203"/>
      <c r="HS55" s="203"/>
      <c r="HT55" s="203"/>
      <c r="HU55" s="203"/>
      <c r="HV55" s="203"/>
      <c r="HW55" s="203"/>
      <c r="HX55" s="203"/>
      <c r="HY55" s="203"/>
      <c r="HZ55" s="203"/>
      <c r="IA55" s="203"/>
      <c r="IB55" s="203"/>
      <c r="IC55" s="203"/>
      <c r="ID55" s="203"/>
      <c r="IE55" s="203"/>
      <c r="IF55" s="203"/>
      <c r="IG55" s="203"/>
      <c r="IH55" s="203"/>
      <c r="II55" s="203"/>
      <c r="IJ55" s="203"/>
      <c r="IK55" s="203"/>
      <c r="IL55" s="203"/>
      <c r="IM55" s="203"/>
      <c r="IN55" s="203"/>
      <c r="IO55" s="203"/>
      <c r="IP55" s="203"/>
      <c r="IQ55" s="203"/>
      <c r="IR55" s="203"/>
      <c r="IS55" s="203"/>
      <c r="IT55" s="203"/>
      <c r="IU55" s="203"/>
      <c r="IV55" s="203"/>
    </row>
    <row r="56" spans="1:5" ht="28.5" customHeight="1">
      <c r="A56" s="480" t="s">
        <v>1306</v>
      </c>
      <c r="B56" s="455">
        <v>43011</v>
      </c>
      <c r="C56" s="455">
        <v>60461</v>
      </c>
      <c r="D56" s="487"/>
      <c r="E56" s="457">
        <f>SUM(B56:D56)</f>
        <v>103472</v>
      </c>
    </row>
    <row r="57" spans="1:5" ht="28.5" customHeight="1">
      <c r="A57" s="482" t="s">
        <v>473</v>
      </c>
      <c r="B57" s="478">
        <f>SUM(B48:B56)</f>
        <v>221072</v>
      </c>
      <c r="C57" s="478">
        <f>SUM(C48:C56)</f>
        <v>1816607</v>
      </c>
      <c r="D57" s="1476" t="s">
        <v>464</v>
      </c>
      <c r="E57" s="483">
        <f>SUM(B57:D57)</f>
        <v>2037679</v>
      </c>
    </row>
    <row r="58" spans="1:5" ht="28.5" customHeight="1" thickBot="1">
      <c r="A58" s="209"/>
      <c r="B58" s="438"/>
      <c r="C58" s="438"/>
      <c r="D58" s="438"/>
      <c r="E58" s="442"/>
    </row>
    <row r="59" spans="1:5" ht="28.5" customHeight="1">
      <c r="A59" s="205" t="s">
        <v>1170</v>
      </c>
      <c r="B59" s="451"/>
      <c r="C59" s="451"/>
      <c r="D59" s="451"/>
      <c r="E59" s="452"/>
    </row>
    <row r="60" spans="1:5" ht="28.5" customHeight="1" hidden="1">
      <c r="A60" s="206"/>
      <c r="B60" s="207"/>
      <c r="C60" s="207"/>
      <c r="D60" s="207"/>
      <c r="E60" s="208"/>
    </row>
    <row r="61" spans="1:5" ht="28.5" customHeight="1">
      <c r="A61" s="458" t="s">
        <v>764</v>
      </c>
      <c r="B61" s="455">
        <v>30988</v>
      </c>
      <c r="C61" s="455">
        <v>474683</v>
      </c>
      <c r="D61" s="456" t="s">
        <v>464</v>
      </c>
      <c r="E61" s="457">
        <f>SUM(B61:D61)</f>
        <v>505671</v>
      </c>
    </row>
    <row r="62" spans="1:5" ht="28.5" customHeight="1" thickBot="1">
      <c r="A62" s="443"/>
      <c r="B62" s="210"/>
      <c r="C62" s="210"/>
      <c r="D62" s="210"/>
      <c r="E62" s="484"/>
    </row>
    <row r="63" spans="1:5" ht="28.5" customHeight="1">
      <c r="A63" s="205" t="s">
        <v>1171</v>
      </c>
      <c r="B63" s="451"/>
      <c r="C63" s="451"/>
      <c r="D63" s="451"/>
      <c r="E63" s="452"/>
    </row>
    <row r="64" spans="1:5" ht="28.5" customHeight="1" hidden="1">
      <c r="A64" s="206"/>
      <c r="B64" s="207"/>
      <c r="C64" s="207"/>
      <c r="D64" s="207"/>
      <c r="E64" s="208"/>
    </row>
    <row r="65" spans="1:5" ht="28.5" customHeight="1">
      <c r="A65" s="206" t="s">
        <v>765</v>
      </c>
      <c r="B65" s="734" t="s">
        <v>464</v>
      </c>
      <c r="C65" s="734">
        <v>3000</v>
      </c>
      <c r="D65" s="734">
        <v>254525</v>
      </c>
      <c r="E65" s="1477">
        <f>SUM(B65:D65)</f>
        <v>257525</v>
      </c>
    </row>
    <row r="66" spans="1:5" ht="26.25">
      <c r="A66" s="480" t="s">
        <v>1172</v>
      </c>
      <c r="B66" s="485"/>
      <c r="C66" s="475"/>
      <c r="D66" s="475"/>
      <c r="E66" s="481"/>
    </row>
    <row r="67" spans="1:5" ht="26.25">
      <c r="A67" s="460" t="s">
        <v>452</v>
      </c>
      <c r="B67" s="456">
        <v>811544</v>
      </c>
      <c r="C67" s="456">
        <v>48449</v>
      </c>
      <c r="D67" s="455">
        <v>166342</v>
      </c>
      <c r="E67" s="457">
        <f>SUM(B67:D67)</f>
        <v>1026335</v>
      </c>
    </row>
    <row r="68" spans="1:5" ht="26.25" hidden="1">
      <c r="A68" s="206"/>
      <c r="B68" s="207"/>
      <c r="C68" s="207"/>
      <c r="D68" s="207"/>
      <c r="E68" s="208"/>
    </row>
    <row r="69" spans="1:5" ht="28.5" customHeight="1">
      <c r="A69" s="460" t="s">
        <v>1307</v>
      </c>
      <c r="B69" s="456">
        <v>18000</v>
      </c>
      <c r="C69" s="455">
        <v>376750</v>
      </c>
      <c r="D69" s="455">
        <v>2437781</v>
      </c>
      <c r="E69" s="457">
        <f>SUM(B69:D69)</f>
        <v>2832531</v>
      </c>
    </row>
    <row r="70" spans="1:5" ht="28.5" customHeight="1" hidden="1">
      <c r="A70" s="206"/>
      <c r="B70" s="207"/>
      <c r="C70" s="207"/>
      <c r="D70" s="207"/>
      <c r="E70" s="208"/>
    </row>
    <row r="71" spans="1:5" ht="28.5" customHeight="1">
      <c r="A71" s="458" t="s">
        <v>766</v>
      </c>
      <c r="B71" s="456" t="s">
        <v>464</v>
      </c>
      <c r="C71" s="456" t="s">
        <v>464</v>
      </c>
      <c r="D71" s="455">
        <v>69600</v>
      </c>
      <c r="E71" s="457">
        <f>SUM(B71:D71)</f>
        <v>69600</v>
      </c>
    </row>
    <row r="72" spans="1:256" ht="28.5" customHeight="1">
      <c r="A72" s="482" t="s">
        <v>473</v>
      </c>
      <c r="B72" s="478">
        <f>SUM(B65:B71)</f>
        <v>829544</v>
      </c>
      <c r="C72" s="478">
        <f>SUM(C65:C71)</f>
        <v>428199</v>
      </c>
      <c r="D72" s="478">
        <f>SUM(D65:D71)</f>
        <v>2928248</v>
      </c>
      <c r="E72" s="483">
        <f>SUM(E65:E71)</f>
        <v>4185991</v>
      </c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  <c r="GE72" s="203"/>
      <c r="GF72" s="203"/>
      <c r="GG72" s="203"/>
      <c r="GH72" s="203"/>
      <c r="GI72" s="203"/>
      <c r="GJ72" s="203"/>
      <c r="GK72" s="203"/>
      <c r="GL72" s="203"/>
      <c r="GM72" s="203"/>
      <c r="GN72" s="203"/>
      <c r="GO72" s="203"/>
      <c r="GP72" s="203"/>
      <c r="GQ72" s="203"/>
      <c r="GR72" s="203"/>
      <c r="GS72" s="203"/>
      <c r="GT72" s="203"/>
      <c r="GU72" s="203"/>
      <c r="GV72" s="203"/>
      <c r="GW72" s="203"/>
      <c r="GX72" s="203"/>
      <c r="GY72" s="203"/>
      <c r="GZ72" s="203"/>
      <c r="HA72" s="203"/>
      <c r="HB72" s="203"/>
      <c r="HC72" s="203"/>
      <c r="HD72" s="203"/>
      <c r="HE72" s="203"/>
      <c r="HF72" s="203"/>
      <c r="HG72" s="203"/>
      <c r="HH72" s="203"/>
      <c r="HI72" s="203"/>
      <c r="HJ72" s="203"/>
      <c r="HK72" s="203"/>
      <c r="HL72" s="203"/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203"/>
      <c r="HZ72" s="203"/>
      <c r="IA72" s="203"/>
      <c r="IB72" s="203"/>
      <c r="IC72" s="203"/>
      <c r="ID72" s="203"/>
      <c r="IE72" s="203"/>
      <c r="IF72" s="203"/>
      <c r="IG72" s="203"/>
      <c r="IH72" s="203"/>
      <c r="II72" s="203"/>
      <c r="IJ72" s="203"/>
      <c r="IK72" s="203"/>
      <c r="IL72" s="203"/>
      <c r="IM72" s="203"/>
      <c r="IN72" s="203"/>
      <c r="IO72" s="203"/>
      <c r="IP72" s="203"/>
      <c r="IQ72" s="203"/>
      <c r="IR72" s="203"/>
      <c r="IS72" s="203"/>
      <c r="IT72" s="203"/>
      <c r="IU72" s="203"/>
      <c r="IV72" s="203"/>
    </row>
    <row r="73" spans="1:5" ht="28.5" customHeight="1" thickBot="1">
      <c r="A73" s="209"/>
      <c r="B73" s="438"/>
      <c r="C73" s="438"/>
      <c r="D73" s="438"/>
      <c r="E73" s="442"/>
    </row>
    <row r="74" spans="1:5" ht="28.5" customHeight="1">
      <c r="A74" s="205" t="s">
        <v>1083</v>
      </c>
      <c r="B74" s="451"/>
      <c r="C74" s="451"/>
      <c r="D74" s="451"/>
      <c r="E74" s="452"/>
    </row>
    <row r="75" spans="1:5" ht="28.5" customHeight="1" hidden="1">
      <c r="A75" s="206"/>
      <c r="B75" s="207"/>
      <c r="C75" s="207"/>
      <c r="D75" s="207"/>
      <c r="E75" s="208"/>
    </row>
    <row r="76" spans="1:5" ht="28.5" customHeight="1">
      <c r="A76" s="206" t="s">
        <v>199</v>
      </c>
      <c r="B76" s="734" t="s">
        <v>464</v>
      </c>
      <c r="C76" s="207">
        <v>900</v>
      </c>
      <c r="D76" s="207">
        <v>1169</v>
      </c>
      <c r="E76" s="208">
        <f>SUM(B76:D76)</f>
        <v>2069</v>
      </c>
    </row>
    <row r="77" spans="1:5" ht="28.5" customHeight="1">
      <c r="A77" s="1919" t="s">
        <v>200</v>
      </c>
      <c r="B77" s="487" t="s">
        <v>464</v>
      </c>
      <c r="C77" s="487" t="s">
        <v>464</v>
      </c>
      <c r="D77" s="488">
        <v>960</v>
      </c>
      <c r="E77" s="467">
        <f>SUM(B77:D77)</f>
        <v>960</v>
      </c>
    </row>
    <row r="78" spans="1:5" ht="28.5" customHeight="1">
      <c r="A78" s="1919" t="s">
        <v>1537</v>
      </c>
      <c r="B78" s="487">
        <v>13240</v>
      </c>
      <c r="C78" s="487">
        <v>553</v>
      </c>
      <c r="D78" s="488">
        <v>52966</v>
      </c>
      <c r="E78" s="467">
        <f>SUM(B78:D78)</f>
        <v>66759</v>
      </c>
    </row>
    <row r="79" spans="1:5" ht="28.5" customHeight="1">
      <c r="A79" s="206" t="s">
        <v>430</v>
      </c>
      <c r="B79" s="207"/>
      <c r="C79" s="207"/>
      <c r="D79" s="207"/>
      <c r="E79" s="208"/>
    </row>
    <row r="80" spans="1:5" ht="28.5" customHeight="1">
      <c r="A80" s="460" t="s">
        <v>431</v>
      </c>
      <c r="B80" s="455">
        <f>16637+2160</f>
        <v>18797</v>
      </c>
      <c r="C80" s="456" t="s">
        <v>464</v>
      </c>
      <c r="D80" s="456" t="s">
        <v>464</v>
      </c>
      <c r="E80" s="457">
        <f>SUM(B80:D80)</f>
        <v>18797</v>
      </c>
    </row>
    <row r="81" spans="1:5" ht="28.5" customHeight="1" hidden="1">
      <c r="A81" s="480"/>
      <c r="B81" s="475"/>
      <c r="C81" s="485"/>
      <c r="D81" s="485"/>
      <c r="E81" s="481"/>
    </row>
    <row r="82" spans="1:5" ht="28.5" customHeight="1">
      <c r="A82" s="458" t="s">
        <v>767</v>
      </c>
      <c r="B82" s="456"/>
      <c r="C82" s="456" t="s">
        <v>464</v>
      </c>
      <c r="D82" s="455">
        <v>94338</v>
      </c>
      <c r="E82" s="457">
        <f>SUM(B82:D82)</f>
        <v>94338</v>
      </c>
    </row>
    <row r="83" spans="1:5" ht="28.5" customHeight="1" hidden="1">
      <c r="A83" s="206"/>
      <c r="B83" s="207"/>
      <c r="C83" s="207"/>
      <c r="D83" s="207"/>
      <c r="E83" s="208"/>
    </row>
    <row r="84" spans="1:5" ht="28.5" customHeight="1">
      <c r="A84" s="460" t="s">
        <v>1536</v>
      </c>
      <c r="B84" s="456">
        <v>18063</v>
      </c>
      <c r="C84" s="456" t="s">
        <v>464</v>
      </c>
      <c r="D84" s="456" t="s">
        <v>464</v>
      </c>
      <c r="E84" s="457">
        <f aca="true" t="shared" si="1" ref="E84:E91">SUM(B84:D84)</f>
        <v>18063</v>
      </c>
    </row>
    <row r="85" spans="1:256" ht="28.5" customHeight="1" hidden="1">
      <c r="A85" s="206"/>
      <c r="B85" s="207"/>
      <c r="C85" s="207"/>
      <c r="D85" s="207"/>
      <c r="E85" s="457">
        <f t="shared" si="1"/>
        <v>0</v>
      </c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  <c r="EC85" s="203"/>
      <c r="ED85" s="203"/>
      <c r="EE85" s="203"/>
      <c r="EF85" s="203"/>
      <c r="EG85" s="203"/>
      <c r="EH85" s="203"/>
      <c r="EI85" s="203"/>
      <c r="EJ85" s="203"/>
      <c r="EK85" s="203"/>
      <c r="EL85" s="203"/>
      <c r="EM85" s="203"/>
      <c r="EN85" s="203"/>
      <c r="EO85" s="203"/>
      <c r="EP85" s="203"/>
      <c r="EQ85" s="203"/>
      <c r="ER85" s="203"/>
      <c r="ES85" s="203"/>
      <c r="ET85" s="203"/>
      <c r="EU85" s="203"/>
      <c r="EV85" s="203"/>
      <c r="EW85" s="203"/>
      <c r="EX85" s="203"/>
      <c r="EY85" s="203"/>
      <c r="EZ85" s="203"/>
      <c r="FA85" s="203"/>
      <c r="FB85" s="203"/>
      <c r="FC85" s="203"/>
      <c r="FD85" s="203"/>
      <c r="FE85" s="203"/>
      <c r="FF85" s="203"/>
      <c r="FG85" s="203"/>
      <c r="FH85" s="203"/>
      <c r="FI85" s="203"/>
      <c r="FJ85" s="203"/>
      <c r="FK85" s="203"/>
      <c r="FL85" s="203"/>
      <c r="FM85" s="203"/>
      <c r="FN85" s="203"/>
      <c r="FO85" s="203"/>
      <c r="FP85" s="203"/>
      <c r="FQ85" s="203"/>
      <c r="FR85" s="203"/>
      <c r="FS85" s="203"/>
      <c r="FT85" s="203"/>
      <c r="FU85" s="203"/>
      <c r="FV85" s="203"/>
      <c r="FW85" s="203"/>
      <c r="FX85" s="203"/>
      <c r="FY85" s="203"/>
      <c r="FZ85" s="203"/>
      <c r="GA85" s="203"/>
      <c r="GB85" s="203"/>
      <c r="GC85" s="203"/>
      <c r="GD85" s="203"/>
      <c r="GE85" s="203"/>
      <c r="GF85" s="203"/>
      <c r="GG85" s="203"/>
      <c r="GH85" s="203"/>
      <c r="GI85" s="203"/>
      <c r="GJ85" s="203"/>
      <c r="GK85" s="203"/>
      <c r="GL85" s="203"/>
      <c r="GM85" s="203"/>
      <c r="GN85" s="203"/>
      <c r="GO85" s="203"/>
      <c r="GP85" s="203"/>
      <c r="GQ85" s="203"/>
      <c r="GR85" s="203"/>
      <c r="GS85" s="203"/>
      <c r="GT85" s="203"/>
      <c r="GU85" s="203"/>
      <c r="GV85" s="203"/>
      <c r="GW85" s="203"/>
      <c r="GX85" s="203"/>
      <c r="GY85" s="203"/>
      <c r="GZ85" s="203"/>
      <c r="HA85" s="203"/>
      <c r="HB85" s="203"/>
      <c r="HC85" s="203"/>
      <c r="HD85" s="203"/>
      <c r="HE85" s="203"/>
      <c r="HF85" s="203"/>
      <c r="HG85" s="203"/>
      <c r="HH85" s="203"/>
      <c r="HI85" s="203"/>
      <c r="HJ85" s="203"/>
      <c r="HK85" s="203"/>
      <c r="HL85" s="203"/>
      <c r="HM85" s="203"/>
      <c r="HN85" s="203"/>
      <c r="HO85" s="203"/>
      <c r="HP85" s="203"/>
      <c r="HQ85" s="203"/>
      <c r="HR85" s="203"/>
      <c r="HS85" s="203"/>
      <c r="HT85" s="203"/>
      <c r="HU85" s="203"/>
      <c r="HV85" s="203"/>
      <c r="HW85" s="203"/>
      <c r="HX85" s="203"/>
      <c r="HY85" s="203"/>
      <c r="HZ85" s="203"/>
      <c r="IA85" s="203"/>
      <c r="IB85" s="203"/>
      <c r="IC85" s="203"/>
      <c r="ID85" s="203"/>
      <c r="IE85" s="203"/>
      <c r="IF85" s="203"/>
      <c r="IG85" s="203"/>
      <c r="IH85" s="203"/>
      <c r="II85" s="203"/>
      <c r="IJ85" s="203"/>
      <c r="IK85" s="203"/>
      <c r="IL85" s="203"/>
      <c r="IM85" s="203"/>
      <c r="IN85" s="203"/>
      <c r="IO85" s="203"/>
      <c r="IP85" s="203"/>
      <c r="IQ85" s="203"/>
      <c r="IR85" s="203"/>
      <c r="IS85" s="203"/>
      <c r="IT85" s="203"/>
      <c r="IU85" s="203"/>
      <c r="IV85" s="203"/>
    </row>
    <row r="86" spans="1:5" ht="28.5" customHeight="1" hidden="1">
      <c r="A86" s="460"/>
      <c r="B86" s="455"/>
      <c r="C86" s="455"/>
      <c r="D86" s="455"/>
      <c r="E86" s="457">
        <f t="shared" si="1"/>
        <v>0</v>
      </c>
    </row>
    <row r="87" spans="1:5" ht="28.5" customHeight="1" hidden="1">
      <c r="A87" s="206"/>
      <c r="B87" s="427"/>
      <c r="C87" s="427"/>
      <c r="D87" s="427"/>
      <c r="E87" s="457">
        <f t="shared" si="1"/>
        <v>0</v>
      </c>
    </row>
    <row r="88" spans="1:5" ht="28.5" customHeight="1">
      <c r="A88" s="461" t="s">
        <v>1623</v>
      </c>
      <c r="B88" s="2527">
        <v>1090</v>
      </c>
      <c r="C88" s="734">
        <v>3480</v>
      </c>
      <c r="D88" s="427">
        <v>238097</v>
      </c>
      <c r="E88" s="208">
        <f t="shared" si="1"/>
        <v>242667</v>
      </c>
    </row>
    <row r="89" spans="1:5" ht="28.5" customHeight="1">
      <c r="A89" s="1919" t="s">
        <v>768</v>
      </c>
      <c r="B89" s="487">
        <v>600</v>
      </c>
      <c r="C89" s="487">
        <v>13241</v>
      </c>
      <c r="D89" s="487" t="s">
        <v>464</v>
      </c>
      <c r="E89" s="467">
        <f t="shared" si="1"/>
        <v>13841</v>
      </c>
    </row>
    <row r="90" spans="1:5" ht="28.5" customHeight="1" hidden="1">
      <c r="A90" s="480"/>
      <c r="B90" s="475"/>
      <c r="C90" s="485"/>
      <c r="D90" s="475"/>
      <c r="E90" s="467">
        <f t="shared" si="1"/>
        <v>0</v>
      </c>
    </row>
    <row r="91" spans="1:5" ht="28.5" customHeight="1">
      <c r="A91" s="206" t="s">
        <v>192</v>
      </c>
      <c r="B91" s="207"/>
      <c r="C91" s="734"/>
      <c r="D91" s="207">
        <v>137623</v>
      </c>
      <c r="E91" s="467">
        <f t="shared" si="1"/>
        <v>137623</v>
      </c>
    </row>
    <row r="92" spans="1:5" ht="28.5" customHeight="1">
      <c r="A92" s="1919" t="s">
        <v>769</v>
      </c>
      <c r="B92" s="487" t="s">
        <v>464</v>
      </c>
      <c r="C92" s="487" t="s">
        <v>464</v>
      </c>
      <c r="D92" s="487" t="s">
        <v>464</v>
      </c>
      <c r="E92" s="2528" t="s">
        <v>464</v>
      </c>
    </row>
    <row r="93" spans="1:5" ht="28.5" customHeight="1" hidden="1">
      <c r="A93" s="480"/>
      <c r="B93" s="475"/>
      <c r="C93" s="485"/>
      <c r="D93" s="475"/>
      <c r="E93" s="481"/>
    </row>
    <row r="94" spans="1:5" ht="28.5" customHeight="1">
      <c r="A94" s="458" t="s">
        <v>770</v>
      </c>
      <c r="B94" s="456" t="s">
        <v>464</v>
      </c>
      <c r="C94" s="456">
        <v>560</v>
      </c>
      <c r="D94" s="456" t="s">
        <v>464</v>
      </c>
      <c r="E94" s="457">
        <f>SUM(B94:D94)</f>
        <v>560</v>
      </c>
    </row>
    <row r="95" spans="1:5" ht="28.5" customHeight="1" hidden="1">
      <c r="A95" s="206"/>
      <c r="B95" s="427"/>
      <c r="C95" s="427"/>
      <c r="D95" s="427"/>
      <c r="E95" s="457">
        <f>SUM(B95:D95)</f>
        <v>0</v>
      </c>
    </row>
    <row r="96" spans="1:5" s="1985" customFormat="1" ht="28.5" customHeight="1">
      <c r="A96" s="461" t="s">
        <v>1538</v>
      </c>
      <c r="B96" s="1983">
        <v>3261</v>
      </c>
      <c r="C96" s="2380" t="s">
        <v>464</v>
      </c>
      <c r="D96" s="2380">
        <v>10000</v>
      </c>
      <c r="E96" s="1984">
        <f>SUM(B96:D96)</f>
        <v>13261</v>
      </c>
    </row>
    <row r="97" spans="1:5" ht="28.5" customHeight="1">
      <c r="A97" s="1919" t="s">
        <v>771</v>
      </c>
      <c r="B97" s="487" t="s">
        <v>464</v>
      </c>
      <c r="C97" s="487" t="s">
        <v>464</v>
      </c>
      <c r="D97" s="487">
        <v>36794</v>
      </c>
      <c r="E97" s="2381">
        <f>SUM(B97:D97)</f>
        <v>36794</v>
      </c>
    </row>
    <row r="98" spans="1:5" ht="28.5" customHeight="1">
      <c r="A98" s="482" t="s">
        <v>473</v>
      </c>
      <c r="B98" s="478">
        <f>SUM(B78:B97)</f>
        <v>55051</v>
      </c>
      <c r="C98" s="478">
        <f>SUM(C78:C97)</f>
        <v>17834</v>
      </c>
      <c r="D98" s="478">
        <f>SUM(D78:D97)</f>
        <v>569818</v>
      </c>
      <c r="E98" s="483">
        <f>SUM(E78:E97)</f>
        <v>642703</v>
      </c>
    </row>
    <row r="99" spans="1:5" ht="27" thickBot="1">
      <c r="A99" s="209"/>
      <c r="B99" s="210"/>
      <c r="C99" s="438"/>
      <c r="D99" s="438"/>
      <c r="E99" s="442"/>
    </row>
  </sheetData>
  <sheetProtection/>
  <printOptions/>
  <pageMargins left="1" right="1" top="1" bottom="1" header="0.5" footer="0.5"/>
  <pageSetup horizontalDpi="300" verticalDpi="300" orientation="portrait" paperSize="9" scale="43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V92"/>
  <sheetViews>
    <sheetView zoomScale="62" zoomScaleNormal="62" zoomScalePageLayoutView="0" workbookViewId="0" topLeftCell="A1">
      <pane ySplit="4" topLeftCell="A59" activePane="bottomLeft" state="frozen"/>
      <selection pane="topLeft" activeCell="A1" sqref="A1"/>
      <selection pane="bottomLeft" activeCell="A85" sqref="A85:IV85"/>
    </sheetView>
  </sheetViews>
  <sheetFormatPr defaultColWidth="9.7109375" defaultRowHeight="12.75"/>
  <cols>
    <col min="1" max="1" width="57.7109375" style="221" customWidth="1"/>
    <col min="2" max="2" width="21.00390625" style="221" customWidth="1"/>
    <col min="3" max="3" width="24.00390625" style="221" customWidth="1"/>
    <col min="4" max="4" width="27.7109375" style="221" customWidth="1"/>
    <col min="5" max="5" width="20.57421875" style="220" customWidth="1"/>
    <col min="6" max="6" width="255.7109375" style="157" customWidth="1"/>
    <col min="7" max="22" width="6.7109375" style="157" customWidth="1"/>
    <col min="23" max="16384" width="9.7109375" style="157" customWidth="1"/>
  </cols>
  <sheetData>
    <row r="1" spans="1:5" ht="23.25">
      <c r="A1" s="220" t="s">
        <v>185</v>
      </c>
      <c r="E1" s="1478" t="s">
        <v>936</v>
      </c>
    </row>
    <row r="2" spans="1:5" ht="24" thickBot="1">
      <c r="A2" s="220"/>
      <c r="E2" s="1478"/>
    </row>
    <row r="3" spans="1:256" ht="22.5">
      <c r="A3" s="1479" t="s">
        <v>1057</v>
      </c>
      <c r="B3" s="223" t="s">
        <v>585</v>
      </c>
      <c r="C3" s="223" t="s">
        <v>1058</v>
      </c>
      <c r="D3" s="223" t="s">
        <v>686</v>
      </c>
      <c r="E3" s="223" t="s">
        <v>472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168"/>
      <c r="DK3" s="168"/>
      <c r="DL3" s="168"/>
      <c r="DM3" s="168"/>
      <c r="DN3" s="168"/>
      <c r="DO3" s="168"/>
      <c r="DP3" s="168"/>
      <c r="DQ3" s="168"/>
      <c r="DR3" s="168"/>
      <c r="DS3" s="168"/>
      <c r="DT3" s="168"/>
      <c r="DU3" s="168"/>
      <c r="DV3" s="168"/>
      <c r="DW3" s="168"/>
      <c r="DX3" s="168"/>
      <c r="DY3" s="168"/>
      <c r="DZ3" s="168"/>
      <c r="EA3" s="168"/>
      <c r="EB3" s="168"/>
      <c r="EC3" s="168"/>
      <c r="ED3" s="168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  <c r="HI3" s="168"/>
      <c r="HJ3" s="168"/>
      <c r="HK3" s="168"/>
      <c r="HL3" s="168"/>
      <c r="HM3" s="168"/>
      <c r="HN3" s="168"/>
      <c r="HO3" s="168"/>
      <c r="HP3" s="168"/>
      <c r="HQ3" s="168"/>
      <c r="HR3" s="168"/>
      <c r="HS3" s="168"/>
      <c r="HT3" s="168"/>
      <c r="HU3" s="168"/>
      <c r="HV3" s="168"/>
      <c r="HW3" s="168"/>
      <c r="HX3" s="168"/>
      <c r="HY3" s="168"/>
      <c r="HZ3" s="168"/>
      <c r="IA3" s="168"/>
      <c r="IB3" s="168"/>
      <c r="IC3" s="168"/>
      <c r="ID3" s="168"/>
      <c r="IE3" s="168"/>
      <c r="IF3" s="168"/>
      <c r="IG3" s="168"/>
      <c r="IH3" s="168"/>
      <c r="II3" s="168"/>
      <c r="IJ3" s="168"/>
      <c r="IK3" s="168"/>
      <c r="IL3" s="168"/>
      <c r="IM3" s="168"/>
      <c r="IN3" s="168"/>
      <c r="IO3" s="168"/>
      <c r="IP3" s="168"/>
      <c r="IQ3" s="168"/>
      <c r="IR3" s="168"/>
      <c r="IS3" s="168"/>
      <c r="IT3" s="168"/>
      <c r="IU3" s="168"/>
      <c r="IV3" s="168"/>
    </row>
    <row r="4" spans="1:256" ht="32.25" customHeight="1" thickBot="1">
      <c r="A4" s="1480" t="s">
        <v>1061</v>
      </c>
      <c r="B4" s="289" t="s">
        <v>1125</v>
      </c>
      <c r="C4" s="289" t="s">
        <v>1126</v>
      </c>
      <c r="D4" s="289" t="s">
        <v>1127</v>
      </c>
      <c r="E4" s="1481" t="s">
        <v>480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  <c r="IP4" s="168"/>
      <c r="IQ4" s="168"/>
      <c r="IR4" s="168"/>
      <c r="IS4" s="168"/>
      <c r="IT4" s="168"/>
      <c r="IU4" s="168"/>
      <c r="IV4" s="168"/>
    </row>
    <row r="5" spans="1:5" ht="23.25">
      <c r="A5" s="265" t="s">
        <v>1090</v>
      </c>
      <c r="B5" s="1482"/>
      <c r="C5" s="1482"/>
      <c r="D5" s="1482"/>
      <c r="E5" s="1483"/>
    </row>
    <row r="6" spans="1:5" ht="23.25" hidden="1">
      <c r="A6" s="1484"/>
      <c r="B6" s="1161"/>
      <c r="C6" s="1161"/>
      <c r="D6" s="1161"/>
      <c r="E6" s="1485"/>
    </row>
    <row r="7" spans="1:5" ht="23.25">
      <c r="A7" s="1486" t="s">
        <v>1422</v>
      </c>
      <c r="B7" s="1487">
        <v>23955</v>
      </c>
      <c r="C7" s="1487">
        <v>727552</v>
      </c>
      <c r="D7" s="1488">
        <v>23767</v>
      </c>
      <c r="E7" s="1489">
        <f>SUM(B7:D7)</f>
        <v>775274</v>
      </c>
    </row>
    <row r="8" spans="1:5" ht="23.25" hidden="1">
      <c r="A8" s="1484"/>
      <c r="B8" s="1161"/>
      <c r="C8" s="1161"/>
      <c r="D8" s="1161"/>
      <c r="E8" s="1485"/>
    </row>
    <row r="9" spans="1:5" ht="23.25">
      <c r="A9" s="2529" t="s">
        <v>1423</v>
      </c>
      <c r="B9" s="1502" t="s">
        <v>464</v>
      </c>
      <c r="C9" s="1502" t="s">
        <v>464</v>
      </c>
      <c r="D9" s="1501">
        <v>23148</v>
      </c>
      <c r="E9" s="2530">
        <f>SUM(B9:D9)</f>
        <v>23148</v>
      </c>
    </row>
    <row r="10" spans="1:5" ht="23.25" hidden="1">
      <c r="A10" s="2531"/>
      <c r="B10" s="1499"/>
      <c r="C10" s="1499"/>
      <c r="D10" s="1499"/>
      <c r="E10" s="2532"/>
    </row>
    <row r="11" spans="1:5" ht="23.25">
      <c r="A11" s="2529" t="s">
        <v>1424</v>
      </c>
      <c r="B11" s="1502" t="s">
        <v>464</v>
      </c>
      <c r="C11" s="1502" t="s">
        <v>464</v>
      </c>
      <c r="D11" s="1501">
        <v>32044</v>
      </c>
      <c r="E11" s="2530">
        <f>SUM(B11:D11)</f>
        <v>32044</v>
      </c>
    </row>
    <row r="12" spans="1:5" ht="23.25" hidden="1">
      <c r="A12" s="1484"/>
      <c r="B12" s="1161"/>
      <c r="C12" s="1161"/>
      <c r="D12" s="1161"/>
      <c r="E12" s="1485"/>
    </row>
    <row r="13" spans="1:5" ht="23.25">
      <c r="A13" s="1486" t="s">
        <v>1539</v>
      </c>
      <c r="B13" s="1487"/>
      <c r="C13" s="1487">
        <v>16100</v>
      </c>
      <c r="D13" s="1488">
        <f>164806+7699</f>
        <v>172505</v>
      </c>
      <c r="E13" s="1489">
        <f>SUM(B13:D13)</f>
        <v>188605</v>
      </c>
    </row>
    <row r="14" spans="1:5" ht="23.25" hidden="1">
      <c r="A14" s="1484"/>
      <c r="B14" s="1161"/>
      <c r="C14" s="1161"/>
      <c r="D14" s="1161"/>
      <c r="E14" s="1485"/>
    </row>
    <row r="15" spans="1:5" ht="23.25" hidden="1">
      <c r="A15" s="1486"/>
      <c r="B15" s="1488"/>
      <c r="C15" s="1488"/>
      <c r="D15" s="1487"/>
      <c r="E15" s="1489"/>
    </row>
    <row r="16" spans="1:5" ht="23.25" hidden="1">
      <c r="A16" s="1491"/>
      <c r="B16" s="1492"/>
      <c r="C16" s="1492"/>
      <c r="D16" s="1493"/>
      <c r="E16" s="1494"/>
    </row>
    <row r="17" spans="1:5" ht="23.25">
      <c r="A17" s="1486" t="s">
        <v>1425</v>
      </c>
      <c r="B17" s="1495">
        <v>41280</v>
      </c>
      <c r="C17" s="1487" t="s">
        <v>464</v>
      </c>
      <c r="D17" s="1487" t="s">
        <v>464</v>
      </c>
      <c r="E17" s="1489">
        <f>SUM(B17:D17)</f>
        <v>41280</v>
      </c>
    </row>
    <row r="18" spans="1:5" ht="23.25" hidden="1">
      <c r="A18" s="1484"/>
      <c r="B18" s="1161"/>
      <c r="C18" s="1161"/>
      <c r="D18" s="1161"/>
      <c r="E18" s="1485"/>
    </row>
    <row r="19" spans="1:5" ht="23.25">
      <c r="A19" s="1486" t="s">
        <v>1426</v>
      </c>
      <c r="B19" s="1487">
        <v>1000</v>
      </c>
      <c r="C19" s="1487" t="s">
        <v>464</v>
      </c>
      <c r="D19" s="1488">
        <v>19160</v>
      </c>
      <c r="E19" s="1489">
        <f>SUM(B19:D19)</f>
        <v>20160</v>
      </c>
    </row>
    <row r="20" spans="1:5" ht="23.25" hidden="1">
      <c r="A20" s="1484"/>
      <c r="B20" s="111"/>
      <c r="C20" s="111"/>
      <c r="D20" s="111"/>
      <c r="E20" s="1496"/>
    </row>
    <row r="21" spans="1:5" ht="23.25">
      <c r="A21" s="1486" t="s">
        <v>1427</v>
      </c>
      <c r="B21" s="1487" t="s">
        <v>464</v>
      </c>
      <c r="C21" s="1487">
        <v>5114</v>
      </c>
      <c r="D21" s="1497">
        <v>67914</v>
      </c>
      <c r="E21" s="1489">
        <f>SUM(B21:D21)</f>
        <v>73028</v>
      </c>
    </row>
    <row r="22" spans="1:256" ht="23.25" hidden="1">
      <c r="A22" s="1484"/>
      <c r="B22" s="111"/>
      <c r="C22" s="111"/>
      <c r="D22" s="111"/>
      <c r="E22" s="149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  <c r="IS22" s="156"/>
      <c r="IT22" s="156"/>
      <c r="IU22" s="156"/>
      <c r="IV22" s="156"/>
    </row>
    <row r="23" spans="1:256" ht="23.25">
      <c r="A23" s="1486" t="s">
        <v>1428</v>
      </c>
      <c r="B23" s="1487" t="s">
        <v>464</v>
      </c>
      <c r="C23" s="1487">
        <v>60205</v>
      </c>
      <c r="D23" s="1497">
        <v>214953</v>
      </c>
      <c r="E23" s="1489">
        <f aca="true" t="shared" si="0" ref="E23:E28">SUM(B23:D23)</f>
        <v>275158</v>
      </c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  <c r="IS23" s="156"/>
      <c r="IT23" s="156"/>
      <c r="IU23" s="156"/>
      <c r="IV23" s="156"/>
    </row>
    <row r="24" spans="1:256" ht="23.25" hidden="1">
      <c r="A24" s="1498"/>
      <c r="B24" s="1499"/>
      <c r="C24" s="1499"/>
      <c r="D24" s="1499"/>
      <c r="E24" s="1489">
        <f t="shared" si="0"/>
        <v>0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  <c r="IS24" s="156"/>
      <c r="IT24" s="156"/>
      <c r="IU24" s="156"/>
      <c r="IV24" s="156"/>
    </row>
    <row r="25" spans="1:256" ht="23.25" hidden="1">
      <c r="A25" s="1500"/>
      <c r="B25" s="1501"/>
      <c r="C25" s="1502"/>
      <c r="D25" s="1502"/>
      <c r="E25" s="1489">
        <f t="shared" si="0"/>
        <v>0</v>
      </c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  <c r="IR25" s="156"/>
      <c r="IS25" s="156"/>
      <c r="IT25" s="156"/>
      <c r="IU25" s="156"/>
      <c r="IV25" s="156"/>
    </row>
    <row r="26" spans="1:256" ht="23.25">
      <c r="A26" s="2382" t="s">
        <v>1657</v>
      </c>
      <c r="B26" s="1501"/>
      <c r="C26" s="1502">
        <v>1200</v>
      </c>
      <c r="D26" s="1502">
        <v>5356</v>
      </c>
      <c r="E26" s="1489">
        <f t="shared" si="0"/>
        <v>6556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  <c r="IS26" s="156"/>
      <c r="IT26" s="156"/>
      <c r="IU26" s="156"/>
      <c r="IV26" s="156"/>
    </row>
    <row r="27" spans="1:256" ht="23.25">
      <c r="A27" s="1503" t="s">
        <v>1429</v>
      </c>
      <c r="B27" s="1504">
        <v>3478</v>
      </c>
      <c r="C27" s="1507" t="s">
        <v>464</v>
      </c>
      <c r="D27" s="1507" t="s">
        <v>464</v>
      </c>
      <c r="E27" s="1489">
        <f t="shared" si="0"/>
        <v>3478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  <c r="IS27" s="156"/>
      <c r="IT27" s="156"/>
      <c r="IU27" s="156"/>
      <c r="IV27" s="156"/>
    </row>
    <row r="28" spans="1:256" ht="24" thickBot="1">
      <c r="A28" s="240" t="s">
        <v>1430</v>
      </c>
      <c r="B28" s="1158" t="s">
        <v>464</v>
      </c>
      <c r="C28" s="1161"/>
      <c r="D28" s="1161">
        <v>3493</v>
      </c>
      <c r="E28" s="1485">
        <f t="shared" si="0"/>
        <v>3493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  <c r="IS28" s="156"/>
      <c r="IT28" s="156"/>
      <c r="IU28" s="156"/>
      <c r="IV28" s="156"/>
    </row>
    <row r="29" spans="1:256" ht="33.75" customHeight="1">
      <c r="A29" s="265" t="s">
        <v>473</v>
      </c>
      <c r="B29" s="1150">
        <f>SUM(B9:B28)</f>
        <v>45758</v>
      </c>
      <c r="C29" s="1150">
        <f>SUM(C7:C28)</f>
        <v>810171</v>
      </c>
      <c r="D29" s="1150">
        <f>SUM(D7:D28)</f>
        <v>562340</v>
      </c>
      <c r="E29" s="1483">
        <f>SUM(B29:D29)</f>
        <v>1418269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  <c r="IR29" s="156"/>
      <c r="IS29" s="156"/>
      <c r="IT29" s="156"/>
      <c r="IU29" s="156"/>
      <c r="IV29" s="156"/>
    </row>
    <row r="30" spans="1:256" ht="19.5" customHeight="1" thickBot="1">
      <c r="A30" s="272"/>
      <c r="B30" s="1395"/>
      <c r="C30" s="1395"/>
      <c r="D30" s="1395"/>
      <c r="E30" s="1505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  <c r="IR30" s="156"/>
      <c r="IS30" s="156"/>
      <c r="IT30" s="156"/>
      <c r="IU30" s="156"/>
      <c r="IV30" s="156"/>
    </row>
    <row r="31" spans="1:256" ht="22.5">
      <c r="A31" s="265" t="s">
        <v>1210</v>
      </c>
      <c r="B31" s="1150"/>
      <c r="C31" s="1150"/>
      <c r="D31" s="1150"/>
      <c r="E31" s="1483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  <c r="IS31" s="156"/>
      <c r="IT31" s="156"/>
      <c r="IU31" s="156"/>
      <c r="IV31" s="156"/>
    </row>
    <row r="32" spans="1:5" ht="23.25">
      <c r="A32" s="1506" t="s">
        <v>1431</v>
      </c>
      <c r="B32" s="1507">
        <v>19176</v>
      </c>
      <c r="C32" s="1507"/>
      <c r="D32" s="1504">
        <v>22538</v>
      </c>
      <c r="E32" s="1508">
        <f aca="true" t="shared" si="1" ref="E32:E37">SUM(B32:D32)</f>
        <v>41714</v>
      </c>
    </row>
    <row r="33" spans="1:5" ht="23.25">
      <c r="A33" s="1484" t="s">
        <v>1432</v>
      </c>
      <c r="B33" s="1161">
        <v>93910</v>
      </c>
      <c r="C33" s="1507" t="s">
        <v>464</v>
      </c>
      <c r="D33" s="1158" t="s">
        <v>464</v>
      </c>
      <c r="E33" s="1508">
        <f t="shared" si="1"/>
        <v>93910</v>
      </c>
    </row>
    <row r="34" spans="1:5" ht="23.25">
      <c r="A34" s="1506" t="s">
        <v>1433</v>
      </c>
      <c r="B34" s="1504">
        <v>1740</v>
      </c>
      <c r="C34" s="1507" t="s">
        <v>464</v>
      </c>
      <c r="D34" s="1507">
        <v>14785</v>
      </c>
      <c r="E34" s="1508">
        <f t="shared" si="1"/>
        <v>16525</v>
      </c>
    </row>
    <row r="35" spans="1:5" ht="23.25">
      <c r="A35" s="1506" t="s">
        <v>1540</v>
      </c>
      <c r="B35" s="1504">
        <v>945</v>
      </c>
      <c r="C35" s="1507" t="s">
        <v>464</v>
      </c>
      <c r="D35" s="1507" t="s">
        <v>464</v>
      </c>
      <c r="E35" s="1508">
        <f t="shared" si="1"/>
        <v>945</v>
      </c>
    </row>
    <row r="36" spans="1:5" ht="23.25">
      <c r="A36" s="1510" t="s">
        <v>1434</v>
      </c>
      <c r="B36" s="1504">
        <v>103533</v>
      </c>
      <c r="C36" s="1507" t="s">
        <v>464</v>
      </c>
      <c r="D36" s="1507" t="s">
        <v>464</v>
      </c>
      <c r="E36" s="1508">
        <f t="shared" si="1"/>
        <v>103533</v>
      </c>
    </row>
    <row r="37" spans="1:5" ht="47.25" thickBot="1">
      <c r="A37" s="1511" t="s">
        <v>1435</v>
      </c>
      <c r="B37" s="1181">
        <v>6346</v>
      </c>
      <c r="C37" s="1512" t="s">
        <v>464</v>
      </c>
      <c r="D37" s="1512" t="s">
        <v>464</v>
      </c>
      <c r="E37" s="1505">
        <f t="shared" si="1"/>
        <v>6346</v>
      </c>
    </row>
    <row r="38" spans="1:5" ht="24.75" customHeight="1">
      <c r="A38" s="265" t="s">
        <v>473</v>
      </c>
      <c r="B38" s="1150">
        <f>SUM(B32:B37)</f>
        <v>225650</v>
      </c>
      <c r="C38" s="1234">
        <f>SUM(C32:C37)</f>
        <v>0</v>
      </c>
      <c r="D38" s="1150">
        <f>SUM(D32:D37)</f>
        <v>37323</v>
      </c>
      <c r="E38" s="1483">
        <f>SUM(E32:E37)</f>
        <v>262973</v>
      </c>
    </row>
    <row r="39" spans="1:5" ht="24.75" customHeight="1" thickBot="1">
      <c r="A39" s="270"/>
      <c r="B39" s="255"/>
      <c r="C39" s="255"/>
      <c r="D39" s="255"/>
      <c r="E39" s="274"/>
    </row>
    <row r="40" spans="1:5" ht="23.25">
      <c r="A40" s="1513" t="s">
        <v>1173</v>
      </c>
      <c r="B40" s="1161"/>
      <c r="C40" s="1161"/>
      <c r="D40" s="1161"/>
      <c r="E40" s="1485"/>
    </row>
    <row r="41" spans="1:5" ht="21.75" customHeight="1">
      <c r="A41" s="1510" t="s">
        <v>184</v>
      </c>
      <c r="B41" s="1507">
        <v>3205</v>
      </c>
      <c r="C41" s="1507">
        <v>1438</v>
      </c>
      <c r="D41" s="1504">
        <v>794406</v>
      </c>
      <c r="E41" s="1508">
        <f>SUM(B41:D41)</f>
        <v>799049</v>
      </c>
    </row>
    <row r="42" spans="1:5" ht="21.75" customHeight="1">
      <c r="A42" s="1514" t="s">
        <v>1541</v>
      </c>
      <c r="B42" s="1509">
        <v>18660</v>
      </c>
      <c r="C42" s="1509" t="s">
        <v>464</v>
      </c>
      <c r="D42" s="1509" t="s">
        <v>464</v>
      </c>
      <c r="E42" s="1508">
        <f>SUM(B42:D42)</f>
        <v>18660</v>
      </c>
    </row>
    <row r="43" spans="1:5" ht="24" thickBot="1">
      <c r="A43" s="1514" t="s">
        <v>1436</v>
      </c>
      <c r="B43" s="1509" t="s">
        <v>464</v>
      </c>
      <c r="C43" s="1509">
        <v>300</v>
      </c>
      <c r="D43" s="1509">
        <v>4000</v>
      </c>
      <c r="E43" s="1508">
        <f>SUM(B43:D43)</f>
        <v>4300</v>
      </c>
    </row>
    <row r="44" spans="1:5" ht="30" customHeight="1">
      <c r="A44" s="292" t="s">
        <v>472</v>
      </c>
      <c r="B44" s="1234">
        <f>SUM(B41:B43)</f>
        <v>21865</v>
      </c>
      <c r="C44" s="1234">
        <f>SUM(C41:C43)</f>
        <v>1738</v>
      </c>
      <c r="D44" s="1150">
        <f>SUM(D41:D43)</f>
        <v>798406</v>
      </c>
      <c r="E44" s="1483">
        <f>SUM(E41:E43)</f>
        <v>822009</v>
      </c>
    </row>
    <row r="45" spans="1:5" ht="19.5" customHeight="1" thickBot="1">
      <c r="A45" s="299"/>
      <c r="B45" s="1236"/>
      <c r="C45" s="1236"/>
      <c r="D45" s="1181"/>
      <c r="E45" s="1505"/>
    </row>
    <row r="46" spans="1:5" ht="24" hidden="1" thickBot="1">
      <c r="A46" s="299"/>
      <c r="B46" s="1181"/>
      <c r="C46" s="1181"/>
      <c r="D46" s="1181"/>
      <c r="E46" s="1505"/>
    </row>
    <row r="47" spans="1:5" ht="23.25">
      <c r="A47" s="292" t="s">
        <v>1177</v>
      </c>
      <c r="B47" s="1482"/>
      <c r="C47" s="1482"/>
      <c r="D47" s="1482"/>
      <c r="E47" s="1483"/>
    </row>
    <row r="48" spans="1:5" ht="23.25" hidden="1">
      <c r="A48" s="1515"/>
      <c r="B48" s="1161"/>
      <c r="C48" s="1161"/>
      <c r="D48" s="1161"/>
      <c r="E48" s="1485"/>
    </row>
    <row r="49" spans="1:5" ht="23.25">
      <c r="A49" s="1486" t="s">
        <v>1437</v>
      </c>
      <c r="B49" s="1487" t="s">
        <v>464</v>
      </c>
      <c r="C49" s="1487" t="s">
        <v>464</v>
      </c>
      <c r="D49" s="1487" t="s">
        <v>464</v>
      </c>
      <c r="E49" s="2511" t="s">
        <v>464</v>
      </c>
    </row>
    <row r="50" spans="1:5" ht="23.25" hidden="1">
      <c r="A50" s="1484"/>
      <c r="B50" s="1517"/>
      <c r="C50" s="1517"/>
      <c r="D50" s="1517"/>
      <c r="E50" s="1518"/>
    </row>
    <row r="51" spans="1:42" ht="23.25">
      <c r="A51" s="1486" t="s">
        <v>1438</v>
      </c>
      <c r="B51" s="1520" t="s">
        <v>464</v>
      </c>
      <c r="C51" s="1520" t="s">
        <v>464</v>
      </c>
      <c r="D51" s="1487" t="s">
        <v>464</v>
      </c>
      <c r="E51" s="2511" t="s">
        <v>464</v>
      </c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</row>
    <row r="52" spans="1:256" ht="23.25" hidden="1">
      <c r="A52" s="1484"/>
      <c r="B52" s="1517"/>
      <c r="C52" s="1517"/>
      <c r="D52" s="1517"/>
      <c r="E52" s="1518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56"/>
      <c r="DS52" s="156"/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56"/>
      <c r="EY52" s="156"/>
      <c r="EZ52" s="156"/>
      <c r="FA52" s="156"/>
      <c r="FB52" s="156"/>
      <c r="FC52" s="156"/>
      <c r="FD52" s="156"/>
      <c r="FE52" s="156"/>
      <c r="FF52" s="156"/>
      <c r="FG52" s="156"/>
      <c r="FH52" s="156"/>
      <c r="FI52" s="156"/>
      <c r="FJ52" s="156"/>
      <c r="FK52" s="156"/>
      <c r="FL52" s="156"/>
      <c r="FM52" s="156"/>
      <c r="FN52" s="156"/>
      <c r="FO52" s="156"/>
      <c r="FP52" s="156"/>
      <c r="FQ52" s="156"/>
      <c r="FR52" s="156"/>
      <c r="FS52" s="156"/>
      <c r="FT52" s="156"/>
      <c r="FU52" s="156"/>
      <c r="FV52" s="156"/>
      <c r="FW52" s="156"/>
      <c r="FX52" s="156"/>
      <c r="FY52" s="156"/>
      <c r="FZ52" s="156"/>
      <c r="GA52" s="156"/>
      <c r="GB52" s="156"/>
      <c r="GC52" s="156"/>
      <c r="GD52" s="156"/>
      <c r="GE52" s="156"/>
      <c r="GF52" s="156"/>
      <c r="GG52" s="156"/>
      <c r="GH52" s="156"/>
      <c r="GI52" s="156"/>
      <c r="GJ52" s="156"/>
      <c r="GK52" s="156"/>
      <c r="GL52" s="156"/>
      <c r="GM52" s="156"/>
      <c r="GN52" s="156"/>
      <c r="GO52" s="156"/>
      <c r="GP52" s="156"/>
      <c r="GQ52" s="156"/>
      <c r="GR52" s="156"/>
      <c r="GS52" s="156"/>
      <c r="GT52" s="156"/>
      <c r="GU52" s="156"/>
      <c r="GV52" s="156"/>
      <c r="GW52" s="156"/>
      <c r="GX52" s="156"/>
      <c r="GY52" s="156"/>
      <c r="GZ52" s="156"/>
      <c r="HA52" s="156"/>
      <c r="HB52" s="156"/>
      <c r="HC52" s="156"/>
      <c r="HD52" s="156"/>
      <c r="HE52" s="156"/>
      <c r="HF52" s="156"/>
      <c r="HG52" s="156"/>
      <c r="HH52" s="156"/>
      <c r="HI52" s="156"/>
      <c r="HJ52" s="156"/>
      <c r="HK52" s="156"/>
      <c r="HL52" s="156"/>
      <c r="HM52" s="156"/>
      <c r="HN52" s="156"/>
      <c r="HO52" s="156"/>
      <c r="HP52" s="156"/>
      <c r="HQ52" s="156"/>
      <c r="HR52" s="156"/>
      <c r="HS52" s="156"/>
      <c r="HT52" s="156"/>
      <c r="HU52" s="156"/>
      <c r="HV52" s="156"/>
      <c r="HW52" s="156"/>
      <c r="HX52" s="156"/>
      <c r="HY52" s="156"/>
      <c r="HZ52" s="156"/>
      <c r="IA52" s="156"/>
      <c r="IB52" s="156"/>
      <c r="IC52" s="156"/>
      <c r="ID52" s="156"/>
      <c r="IE52" s="156"/>
      <c r="IF52" s="156"/>
      <c r="IG52" s="156"/>
      <c r="IH52" s="156"/>
      <c r="II52" s="156"/>
      <c r="IJ52" s="156"/>
      <c r="IK52" s="156"/>
      <c r="IL52" s="156"/>
      <c r="IM52" s="156"/>
      <c r="IN52" s="156"/>
      <c r="IO52" s="156"/>
      <c r="IP52" s="156"/>
      <c r="IQ52" s="156"/>
      <c r="IR52" s="156"/>
      <c r="IS52" s="156"/>
      <c r="IT52" s="156"/>
      <c r="IU52" s="156"/>
      <c r="IV52" s="156"/>
    </row>
    <row r="53" spans="1:256" ht="23.25">
      <c r="A53" s="1486" t="s">
        <v>1542</v>
      </c>
      <c r="B53" s="1488">
        <v>6625</v>
      </c>
      <c r="C53" s="1519">
        <v>131820</v>
      </c>
      <c r="D53" s="1487" t="s">
        <v>464</v>
      </c>
      <c r="E53" s="1516">
        <f>SUM(B53:D53)</f>
        <v>138445</v>
      </c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56"/>
      <c r="DS53" s="156"/>
      <c r="DT53" s="156"/>
      <c r="DU53" s="156"/>
      <c r="DV53" s="156"/>
      <c r="DW53" s="156"/>
      <c r="DX53" s="156"/>
      <c r="DY53" s="156"/>
      <c r="DZ53" s="156"/>
      <c r="EA53" s="156"/>
      <c r="EB53" s="156"/>
      <c r="EC53" s="156"/>
      <c r="ED53" s="156"/>
      <c r="EE53" s="156"/>
      <c r="EF53" s="156"/>
      <c r="EG53" s="156"/>
      <c r="EH53" s="156"/>
      <c r="EI53" s="156"/>
      <c r="EJ53" s="156"/>
      <c r="EK53" s="156"/>
      <c r="EL53" s="156"/>
      <c r="EM53" s="156"/>
      <c r="EN53" s="156"/>
      <c r="EO53" s="156"/>
      <c r="EP53" s="156"/>
      <c r="EQ53" s="156"/>
      <c r="ER53" s="156"/>
      <c r="ES53" s="156"/>
      <c r="ET53" s="156"/>
      <c r="EU53" s="156"/>
      <c r="EV53" s="156"/>
      <c r="EW53" s="156"/>
      <c r="EX53" s="156"/>
      <c r="EY53" s="156"/>
      <c r="EZ53" s="156"/>
      <c r="FA53" s="156"/>
      <c r="FB53" s="156"/>
      <c r="FC53" s="156"/>
      <c r="FD53" s="156"/>
      <c r="FE53" s="156"/>
      <c r="FF53" s="156"/>
      <c r="FG53" s="156"/>
      <c r="FH53" s="156"/>
      <c r="FI53" s="156"/>
      <c r="FJ53" s="156"/>
      <c r="FK53" s="156"/>
      <c r="FL53" s="156"/>
      <c r="FM53" s="156"/>
      <c r="FN53" s="156"/>
      <c r="FO53" s="156"/>
      <c r="FP53" s="156"/>
      <c r="FQ53" s="156"/>
      <c r="FR53" s="156"/>
      <c r="FS53" s="156"/>
      <c r="FT53" s="156"/>
      <c r="FU53" s="156"/>
      <c r="FV53" s="156"/>
      <c r="FW53" s="156"/>
      <c r="FX53" s="156"/>
      <c r="FY53" s="156"/>
      <c r="FZ53" s="156"/>
      <c r="GA53" s="156"/>
      <c r="GB53" s="156"/>
      <c r="GC53" s="156"/>
      <c r="GD53" s="156"/>
      <c r="GE53" s="156"/>
      <c r="GF53" s="156"/>
      <c r="GG53" s="156"/>
      <c r="GH53" s="156"/>
      <c r="GI53" s="156"/>
      <c r="GJ53" s="156"/>
      <c r="GK53" s="156"/>
      <c r="GL53" s="156"/>
      <c r="GM53" s="156"/>
      <c r="GN53" s="156"/>
      <c r="GO53" s="156"/>
      <c r="GP53" s="156"/>
      <c r="GQ53" s="156"/>
      <c r="GR53" s="156"/>
      <c r="GS53" s="156"/>
      <c r="GT53" s="156"/>
      <c r="GU53" s="156"/>
      <c r="GV53" s="156"/>
      <c r="GW53" s="156"/>
      <c r="GX53" s="156"/>
      <c r="GY53" s="156"/>
      <c r="GZ53" s="156"/>
      <c r="HA53" s="156"/>
      <c r="HB53" s="156"/>
      <c r="HC53" s="156"/>
      <c r="HD53" s="156"/>
      <c r="HE53" s="156"/>
      <c r="HF53" s="156"/>
      <c r="HG53" s="156"/>
      <c r="HH53" s="156"/>
      <c r="HI53" s="156"/>
      <c r="HJ53" s="156"/>
      <c r="HK53" s="156"/>
      <c r="HL53" s="156"/>
      <c r="HM53" s="156"/>
      <c r="HN53" s="156"/>
      <c r="HO53" s="156"/>
      <c r="HP53" s="156"/>
      <c r="HQ53" s="156"/>
      <c r="HR53" s="156"/>
      <c r="HS53" s="156"/>
      <c r="HT53" s="156"/>
      <c r="HU53" s="156"/>
      <c r="HV53" s="156"/>
      <c r="HW53" s="156"/>
      <c r="HX53" s="156"/>
      <c r="HY53" s="156"/>
      <c r="HZ53" s="156"/>
      <c r="IA53" s="156"/>
      <c r="IB53" s="156"/>
      <c r="IC53" s="156"/>
      <c r="ID53" s="156"/>
      <c r="IE53" s="156"/>
      <c r="IF53" s="156"/>
      <c r="IG53" s="156"/>
      <c r="IH53" s="156"/>
      <c r="II53" s="156"/>
      <c r="IJ53" s="156"/>
      <c r="IK53" s="156"/>
      <c r="IL53" s="156"/>
      <c r="IM53" s="156"/>
      <c r="IN53" s="156"/>
      <c r="IO53" s="156"/>
      <c r="IP53" s="156"/>
      <c r="IQ53" s="156"/>
      <c r="IR53" s="156"/>
      <c r="IS53" s="156"/>
      <c r="IT53" s="156"/>
      <c r="IU53" s="156"/>
      <c r="IV53" s="156"/>
    </row>
    <row r="54" spans="1:5" ht="23.25" hidden="1">
      <c r="A54" s="1490"/>
      <c r="B54" s="1161"/>
      <c r="C54" s="1517"/>
      <c r="D54" s="1161"/>
      <c r="E54" s="1518"/>
    </row>
    <row r="55" spans="1:256" ht="23.25">
      <c r="A55" s="1486" t="s">
        <v>1439</v>
      </c>
      <c r="B55" s="1488">
        <v>16222</v>
      </c>
      <c r="C55" s="1519">
        <v>10017</v>
      </c>
      <c r="D55" s="1487" t="s">
        <v>464</v>
      </c>
      <c r="E55" s="1516">
        <f>SUM(B55:D55)</f>
        <v>26239</v>
      </c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  <c r="FH55" s="156"/>
      <c r="FI55" s="156"/>
      <c r="FJ55" s="156"/>
      <c r="FK55" s="156"/>
      <c r="FL55" s="156"/>
      <c r="FM55" s="156"/>
      <c r="FN55" s="156"/>
      <c r="FO55" s="156"/>
      <c r="FP55" s="156"/>
      <c r="FQ55" s="156"/>
      <c r="FR55" s="156"/>
      <c r="FS55" s="156"/>
      <c r="FT55" s="156"/>
      <c r="FU55" s="156"/>
      <c r="FV55" s="156"/>
      <c r="FW55" s="156"/>
      <c r="FX55" s="156"/>
      <c r="FY55" s="156"/>
      <c r="FZ55" s="156"/>
      <c r="GA55" s="156"/>
      <c r="GB55" s="156"/>
      <c r="GC55" s="156"/>
      <c r="GD55" s="156"/>
      <c r="GE55" s="156"/>
      <c r="GF55" s="156"/>
      <c r="GG55" s="156"/>
      <c r="GH55" s="156"/>
      <c r="GI55" s="156"/>
      <c r="GJ55" s="156"/>
      <c r="GK55" s="156"/>
      <c r="GL55" s="156"/>
      <c r="GM55" s="156"/>
      <c r="GN55" s="156"/>
      <c r="GO55" s="156"/>
      <c r="GP55" s="156"/>
      <c r="GQ55" s="156"/>
      <c r="GR55" s="156"/>
      <c r="GS55" s="156"/>
      <c r="GT55" s="156"/>
      <c r="GU55" s="156"/>
      <c r="GV55" s="156"/>
      <c r="GW55" s="156"/>
      <c r="GX55" s="156"/>
      <c r="GY55" s="156"/>
      <c r="GZ55" s="156"/>
      <c r="HA55" s="156"/>
      <c r="HB55" s="156"/>
      <c r="HC55" s="156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56"/>
      <c r="HQ55" s="156"/>
      <c r="HR55" s="156"/>
      <c r="HS55" s="156"/>
      <c r="HT55" s="156"/>
      <c r="HU55" s="156"/>
      <c r="HV55" s="156"/>
      <c r="HW55" s="156"/>
      <c r="HX55" s="156"/>
      <c r="HY55" s="156"/>
      <c r="HZ55" s="156"/>
      <c r="IA55" s="156"/>
      <c r="IB55" s="156"/>
      <c r="IC55" s="156"/>
      <c r="ID55" s="156"/>
      <c r="IE55" s="156"/>
      <c r="IF55" s="156"/>
      <c r="IG55" s="156"/>
      <c r="IH55" s="156"/>
      <c r="II55" s="156"/>
      <c r="IJ55" s="156"/>
      <c r="IK55" s="156"/>
      <c r="IL55" s="156"/>
      <c r="IM55" s="156"/>
      <c r="IN55" s="156"/>
      <c r="IO55" s="156"/>
      <c r="IP55" s="156"/>
      <c r="IQ55" s="156"/>
      <c r="IR55" s="156"/>
      <c r="IS55" s="156"/>
      <c r="IT55" s="156"/>
      <c r="IU55" s="156"/>
      <c r="IV55" s="156"/>
    </row>
    <row r="56" spans="1:256" ht="23.25" hidden="1">
      <c r="A56" s="1484"/>
      <c r="B56" s="1517"/>
      <c r="C56" s="1517"/>
      <c r="D56" s="1517"/>
      <c r="E56" s="1518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56"/>
      <c r="DS56" s="156"/>
      <c r="DT56" s="156"/>
      <c r="DU56" s="156"/>
      <c r="DV56" s="156"/>
      <c r="DW56" s="156"/>
      <c r="DX56" s="156"/>
      <c r="DY56" s="156"/>
      <c r="DZ56" s="156"/>
      <c r="EA56" s="156"/>
      <c r="EB56" s="156"/>
      <c r="EC56" s="156"/>
      <c r="ED56" s="156"/>
      <c r="EE56" s="156"/>
      <c r="EF56" s="156"/>
      <c r="EG56" s="156"/>
      <c r="EH56" s="156"/>
      <c r="EI56" s="156"/>
      <c r="EJ56" s="156"/>
      <c r="EK56" s="156"/>
      <c r="EL56" s="156"/>
      <c r="EM56" s="156"/>
      <c r="EN56" s="156"/>
      <c r="EO56" s="156"/>
      <c r="EP56" s="156"/>
      <c r="EQ56" s="156"/>
      <c r="ER56" s="156"/>
      <c r="ES56" s="156"/>
      <c r="ET56" s="156"/>
      <c r="EU56" s="156"/>
      <c r="EV56" s="156"/>
      <c r="EW56" s="156"/>
      <c r="EX56" s="156"/>
      <c r="EY56" s="156"/>
      <c r="EZ56" s="156"/>
      <c r="FA56" s="156"/>
      <c r="FB56" s="156"/>
      <c r="FC56" s="156"/>
      <c r="FD56" s="156"/>
      <c r="FE56" s="156"/>
      <c r="FF56" s="156"/>
      <c r="FG56" s="156"/>
      <c r="FH56" s="156"/>
      <c r="FI56" s="156"/>
      <c r="FJ56" s="156"/>
      <c r="FK56" s="156"/>
      <c r="FL56" s="156"/>
      <c r="FM56" s="156"/>
      <c r="FN56" s="156"/>
      <c r="FO56" s="156"/>
      <c r="FP56" s="156"/>
      <c r="FQ56" s="156"/>
      <c r="FR56" s="156"/>
      <c r="FS56" s="156"/>
      <c r="FT56" s="156"/>
      <c r="FU56" s="156"/>
      <c r="FV56" s="156"/>
      <c r="FW56" s="156"/>
      <c r="FX56" s="156"/>
      <c r="FY56" s="156"/>
      <c r="FZ56" s="156"/>
      <c r="GA56" s="156"/>
      <c r="GB56" s="156"/>
      <c r="GC56" s="156"/>
      <c r="GD56" s="156"/>
      <c r="GE56" s="156"/>
      <c r="GF56" s="156"/>
      <c r="GG56" s="156"/>
      <c r="GH56" s="156"/>
      <c r="GI56" s="156"/>
      <c r="GJ56" s="156"/>
      <c r="GK56" s="156"/>
      <c r="GL56" s="156"/>
      <c r="GM56" s="156"/>
      <c r="GN56" s="156"/>
      <c r="GO56" s="156"/>
      <c r="GP56" s="156"/>
      <c r="GQ56" s="156"/>
      <c r="GR56" s="156"/>
      <c r="GS56" s="156"/>
      <c r="GT56" s="156"/>
      <c r="GU56" s="156"/>
      <c r="GV56" s="156"/>
      <c r="GW56" s="156"/>
      <c r="GX56" s="156"/>
      <c r="GY56" s="156"/>
      <c r="GZ56" s="156"/>
      <c r="HA56" s="156"/>
      <c r="HB56" s="156"/>
      <c r="HC56" s="156"/>
      <c r="HD56" s="156"/>
      <c r="HE56" s="156"/>
      <c r="HF56" s="156"/>
      <c r="HG56" s="156"/>
      <c r="HH56" s="156"/>
      <c r="HI56" s="156"/>
      <c r="HJ56" s="156"/>
      <c r="HK56" s="156"/>
      <c r="HL56" s="156"/>
      <c r="HM56" s="156"/>
      <c r="HN56" s="156"/>
      <c r="HO56" s="156"/>
      <c r="HP56" s="156"/>
      <c r="HQ56" s="156"/>
      <c r="HR56" s="156"/>
      <c r="HS56" s="156"/>
      <c r="HT56" s="156"/>
      <c r="HU56" s="156"/>
      <c r="HV56" s="156"/>
      <c r="HW56" s="156"/>
      <c r="HX56" s="156"/>
      <c r="HY56" s="156"/>
      <c r="HZ56" s="156"/>
      <c r="IA56" s="156"/>
      <c r="IB56" s="156"/>
      <c r="IC56" s="156"/>
      <c r="ID56" s="156"/>
      <c r="IE56" s="156"/>
      <c r="IF56" s="156"/>
      <c r="IG56" s="156"/>
      <c r="IH56" s="156"/>
      <c r="II56" s="156"/>
      <c r="IJ56" s="156"/>
      <c r="IK56" s="156"/>
      <c r="IL56" s="156"/>
      <c r="IM56" s="156"/>
      <c r="IN56" s="156"/>
      <c r="IO56" s="156"/>
      <c r="IP56" s="156"/>
      <c r="IQ56" s="156"/>
      <c r="IR56" s="156"/>
      <c r="IS56" s="156"/>
      <c r="IT56" s="156"/>
      <c r="IU56" s="156"/>
      <c r="IV56" s="156"/>
    </row>
    <row r="57" spans="1:5" ht="23.25">
      <c r="A57" s="1486" t="s">
        <v>1440</v>
      </c>
      <c r="B57" s="1488">
        <v>16267</v>
      </c>
      <c r="C57" s="1519">
        <v>16920</v>
      </c>
      <c r="D57" s="1520">
        <v>1450</v>
      </c>
      <c r="E57" s="1516">
        <f>SUM(B57:D57)</f>
        <v>34637</v>
      </c>
    </row>
    <row r="58" spans="1:5" ht="23.25" hidden="1">
      <c r="A58" s="1484"/>
      <c r="B58" s="1517"/>
      <c r="C58" s="1517"/>
      <c r="D58" s="1517"/>
      <c r="E58" s="1518"/>
    </row>
    <row r="59" spans="1:5" ht="23.25">
      <c r="A59" s="1486" t="s">
        <v>1441</v>
      </c>
      <c r="B59" s="1488">
        <v>5377</v>
      </c>
      <c r="C59" s="1519">
        <v>102105</v>
      </c>
      <c r="D59" s="1519">
        <v>24010</v>
      </c>
      <c r="E59" s="1516">
        <f>SUM(B59:D59)</f>
        <v>131492</v>
      </c>
    </row>
    <row r="60" spans="1:5" ht="23.25" hidden="1">
      <c r="A60" s="1484"/>
      <c r="B60" s="1161"/>
      <c r="C60" s="1517"/>
      <c r="D60" s="1517"/>
      <c r="E60" s="1516">
        <f aca="true" t="shared" si="2" ref="E60:E68">SUM(B60:D60)</f>
        <v>0</v>
      </c>
    </row>
    <row r="61" spans="1:5" ht="23.25" hidden="1">
      <c r="A61" s="1521"/>
      <c r="B61" s="1488"/>
      <c r="C61" s="1488"/>
      <c r="D61" s="1488"/>
      <c r="E61" s="1516">
        <f t="shared" si="2"/>
        <v>0</v>
      </c>
    </row>
    <row r="62" spans="1:5" ht="23.25" hidden="1">
      <c r="A62" s="1491"/>
      <c r="B62" s="1493"/>
      <c r="C62" s="1493"/>
      <c r="D62" s="1493"/>
      <c r="E62" s="1516">
        <f t="shared" si="2"/>
        <v>0</v>
      </c>
    </row>
    <row r="63" spans="1:5" ht="23.25" hidden="1">
      <c r="A63" s="1521"/>
      <c r="B63" s="1488"/>
      <c r="C63" s="1488"/>
      <c r="D63" s="1488"/>
      <c r="E63" s="1516">
        <f t="shared" si="2"/>
        <v>0</v>
      </c>
    </row>
    <row r="64" spans="1:5" ht="23.25" hidden="1">
      <c r="A64" s="1484"/>
      <c r="B64" s="1517"/>
      <c r="C64" s="1517"/>
      <c r="D64" s="1517"/>
      <c r="E64" s="1516">
        <f t="shared" si="2"/>
        <v>0</v>
      </c>
    </row>
    <row r="65" spans="1:5" ht="23.25" hidden="1">
      <c r="A65" s="1486"/>
      <c r="B65" s="1487"/>
      <c r="C65" s="1487"/>
      <c r="D65" s="1487"/>
      <c r="E65" s="1516">
        <f t="shared" si="2"/>
        <v>0</v>
      </c>
    </row>
    <row r="66" spans="1:5" ht="23.25" hidden="1">
      <c r="A66" s="1484"/>
      <c r="B66" s="1517"/>
      <c r="C66" s="1517"/>
      <c r="D66" s="1517"/>
      <c r="E66" s="1516">
        <f t="shared" si="2"/>
        <v>0</v>
      </c>
    </row>
    <row r="67" spans="1:5" ht="23.25">
      <c r="A67" s="1484" t="s">
        <v>1543</v>
      </c>
      <c r="B67" s="1525" t="s">
        <v>464</v>
      </c>
      <c r="C67" s="1525" t="s">
        <v>464</v>
      </c>
      <c r="D67" s="1525" t="s">
        <v>464</v>
      </c>
      <c r="E67" s="2533" t="s">
        <v>464</v>
      </c>
    </row>
    <row r="68" spans="1:5" ht="23.25">
      <c r="A68" s="1506" t="s">
        <v>1544</v>
      </c>
      <c r="B68" s="1922" t="s">
        <v>464</v>
      </c>
      <c r="C68" s="1922">
        <v>49996</v>
      </c>
      <c r="D68" s="1922" t="s">
        <v>464</v>
      </c>
      <c r="E68" s="1921">
        <f t="shared" si="2"/>
        <v>49996</v>
      </c>
    </row>
    <row r="69" spans="1:5" ht="23.25">
      <c r="A69" s="1506" t="s">
        <v>1442</v>
      </c>
      <c r="B69" s="1920">
        <v>5690</v>
      </c>
      <c r="C69" s="1920">
        <v>204678</v>
      </c>
      <c r="D69" s="1507"/>
      <c r="E69" s="1921">
        <f>SUM(B69:D69)</f>
        <v>210368</v>
      </c>
    </row>
    <row r="70" spans="1:5" ht="23.25" hidden="1">
      <c r="A70" s="1484"/>
      <c r="B70" s="1517"/>
      <c r="C70" s="1517"/>
      <c r="D70" s="1517"/>
      <c r="E70" s="1518"/>
    </row>
    <row r="71" spans="1:5" ht="23.25">
      <c r="A71" s="1486" t="s">
        <v>1443</v>
      </c>
      <c r="B71" s="1487">
        <v>5825</v>
      </c>
      <c r="C71" s="1487" t="s">
        <v>464</v>
      </c>
      <c r="D71" s="1519">
        <v>101005</v>
      </c>
      <c r="E71" s="1516">
        <f>SUM(B71:D71)</f>
        <v>106830</v>
      </c>
    </row>
    <row r="72" spans="1:5" ht="23.25" hidden="1">
      <c r="A72" s="1484"/>
      <c r="B72" s="1517"/>
      <c r="C72" s="1517"/>
      <c r="D72" s="1517"/>
      <c r="E72" s="1518"/>
    </row>
    <row r="73" spans="1:5" ht="23.25">
      <c r="A73" s="1486" t="s">
        <v>1444</v>
      </c>
      <c r="B73" s="1519">
        <v>3825</v>
      </c>
      <c r="C73" s="1488">
        <v>43171</v>
      </c>
      <c r="D73" s="1519">
        <v>18240</v>
      </c>
      <c r="E73" s="1516">
        <f>SUM(B73:D73)</f>
        <v>65236</v>
      </c>
    </row>
    <row r="74" spans="1:5" ht="23.25" hidden="1">
      <c r="A74" s="1484"/>
      <c r="B74" s="1517"/>
      <c r="C74" s="1517"/>
      <c r="D74" s="1517"/>
      <c r="E74" s="1518"/>
    </row>
    <row r="75" spans="1:5" ht="23.25">
      <c r="A75" s="1486" t="s">
        <v>1445</v>
      </c>
      <c r="B75" s="1519">
        <v>6019</v>
      </c>
      <c r="C75" s="1519">
        <v>35040</v>
      </c>
      <c r="D75" s="1519">
        <v>37000</v>
      </c>
      <c r="E75" s="1516">
        <f>SUM(B75:D75)</f>
        <v>78059</v>
      </c>
    </row>
    <row r="76" spans="1:256" ht="23.25" hidden="1">
      <c r="A76" s="1484"/>
      <c r="B76" s="1517"/>
      <c r="C76" s="1517"/>
      <c r="D76" s="1517"/>
      <c r="E76" s="1518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5"/>
      <c r="ES76" s="175"/>
      <c r="ET76" s="175"/>
      <c r="EU76" s="175"/>
      <c r="EV76" s="175"/>
      <c r="EW76" s="175"/>
      <c r="EX76" s="175"/>
      <c r="EY76" s="175"/>
      <c r="EZ76" s="175"/>
      <c r="FA76" s="175"/>
      <c r="FB76" s="175"/>
      <c r="FC76" s="175"/>
      <c r="FD76" s="175"/>
      <c r="FE76" s="175"/>
      <c r="FF76" s="175"/>
      <c r="FG76" s="175"/>
      <c r="FH76" s="175"/>
      <c r="FI76" s="175"/>
      <c r="FJ76" s="175"/>
      <c r="FK76" s="175"/>
      <c r="FL76" s="175"/>
      <c r="FM76" s="175"/>
      <c r="FN76" s="175"/>
      <c r="FO76" s="175"/>
      <c r="FP76" s="175"/>
      <c r="FQ76" s="175"/>
      <c r="FR76" s="175"/>
      <c r="FS76" s="175"/>
      <c r="FT76" s="175"/>
      <c r="FU76" s="175"/>
      <c r="FV76" s="175"/>
      <c r="FW76" s="175"/>
      <c r="FX76" s="175"/>
      <c r="FY76" s="175"/>
      <c r="FZ76" s="175"/>
      <c r="GA76" s="175"/>
      <c r="GB76" s="175"/>
      <c r="GC76" s="175"/>
      <c r="GD76" s="175"/>
      <c r="GE76" s="175"/>
      <c r="GF76" s="175"/>
      <c r="GG76" s="175"/>
      <c r="GH76" s="175"/>
      <c r="GI76" s="175"/>
      <c r="GJ76" s="175"/>
      <c r="GK76" s="175"/>
      <c r="GL76" s="175"/>
      <c r="GM76" s="175"/>
      <c r="GN76" s="175"/>
      <c r="GO76" s="175"/>
      <c r="GP76" s="175"/>
      <c r="GQ76" s="175"/>
      <c r="GR76" s="175"/>
      <c r="GS76" s="175"/>
      <c r="GT76" s="175"/>
      <c r="GU76" s="175"/>
      <c r="GV76" s="175"/>
      <c r="GW76" s="175"/>
      <c r="GX76" s="175"/>
      <c r="GY76" s="175"/>
      <c r="GZ76" s="175"/>
      <c r="HA76" s="175"/>
      <c r="HB76" s="175"/>
      <c r="HC76" s="175"/>
      <c r="HD76" s="175"/>
      <c r="HE76" s="175"/>
      <c r="HF76" s="175"/>
      <c r="HG76" s="175"/>
      <c r="HH76" s="175"/>
      <c r="HI76" s="175"/>
      <c r="HJ76" s="175"/>
      <c r="HK76" s="175"/>
      <c r="HL76" s="175"/>
      <c r="HM76" s="175"/>
      <c r="HN76" s="175"/>
      <c r="HO76" s="175"/>
      <c r="HP76" s="175"/>
      <c r="HQ76" s="175"/>
      <c r="HR76" s="175"/>
      <c r="HS76" s="175"/>
      <c r="HT76" s="175"/>
      <c r="HU76" s="175"/>
      <c r="HV76" s="175"/>
      <c r="HW76" s="175"/>
      <c r="HX76" s="175"/>
      <c r="HY76" s="175"/>
      <c r="HZ76" s="175"/>
      <c r="IA76" s="175"/>
      <c r="IB76" s="175"/>
      <c r="IC76" s="175"/>
      <c r="ID76" s="175"/>
      <c r="IE76" s="175"/>
      <c r="IF76" s="175"/>
      <c r="IG76" s="175"/>
      <c r="IH76" s="175"/>
      <c r="II76" s="175"/>
      <c r="IJ76" s="175"/>
      <c r="IK76" s="175"/>
      <c r="IL76" s="175"/>
      <c r="IM76" s="175"/>
      <c r="IN76" s="175"/>
      <c r="IO76" s="175"/>
      <c r="IP76" s="175"/>
      <c r="IQ76" s="175"/>
      <c r="IR76" s="175"/>
      <c r="IS76" s="175"/>
      <c r="IT76" s="175"/>
      <c r="IU76" s="175"/>
      <c r="IV76" s="175"/>
    </row>
    <row r="77" spans="1:256" ht="23.25">
      <c r="A77" s="1486" t="s">
        <v>1446</v>
      </c>
      <c r="B77" s="1520" t="s">
        <v>464</v>
      </c>
      <c r="C77" s="1520">
        <v>2125</v>
      </c>
      <c r="D77" s="1487" t="s">
        <v>464</v>
      </c>
      <c r="E77" s="1518">
        <f>SUM(B77:D77)</f>
        <v>2125</v>
      </c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  <c r="DA77" s="175"/>
      <c r="DB77" s="175"/>
      <c r="DC77" s="175"/>
      <c r="DD77" s="175"/>
      <c r="DE77" s="175"/>
      <c r="DF77" s="175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5"/>
      <c r="DS77" s="175"/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5"/>
      <c r="EF77" s="175"/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5"/>
      <c r="ES77" s="175"/>
      <c r="ET77" s="175"/>
      <c r="EU77" s="175"/>
      <c r="EV77" s="175"/>
      <c r="EW77" s="175"/>
      <c r="EX77" s="175"/>
      <c r="EY77" s="175"/>
      <c r="EZ77" s="175"/>
      <c r="FA77" s="175"/>
      <c r="FB77" s="175"/>
      <c r="FC77" s="175"/>
      <c r="FD77" s="175"/>
      <c r="FE77" s="175"/>
      <c r="FF77" s="175"/>
      <c r="FG77" s="175"/>
      <c r="FH77" s="175"/>
      <c r="FI77" s="175"/>
      <c r="FJ77" s="175"/>
      <c r="FK77" s="175"/>
      <c r="FL77" s="175"/>
      <c r="FM77" s="175"/>
      <c r="FN77" s="175"/>
      <c r="FO77" s="175"/>
      <c r="FP77" s="175"/>
      <c r="FQ77" s="175"/>
      <c r="FR77" s="175"/>
      <c r="FS77" s="175"/>
      <c r="FT77" s="175"/>
      <c r="FU77" s="175"/>
      <c r="FV77" s="175"/>
      <c r="FW77" s="175"/>
      <c r="FX77" s="175"/>
      <c r="FY77" s="175"/>
      <c r="FZ77" s="175"/>
      <c r="GA77" s="175"/>
      <c r="GB77" s="175"/>
      <c r="GC77" s="175"/>
      <c r="GD77" s="175"/>
      <c r="GE77" s="175"/>
      <c r="GF77" s="175"/>
      <c r="GG77" s="175"/>
      <c r="GH77" s="175"/>
      <c r="GI77" s="175"/>
      <c r="GJ77" s="175"/>
      <c r="GK77" s="175"/>
      <c r="GL77" s="175"/>
      <c r="GM77" s="175"/>
      <c r="GN77" s="175"/>
      <c r="GO77" s="175"/>
      <c r="GP77" s="175"/>
      <c r="GQ77" s="175"/>
      <c r="GR77" s="175"/>
      <c r="GS77" s="175"/>
      <c r="GT77" s="175"/>
      <c r="GU77" s="175"/>
      <c r="GV77" s="175"/>
      <c r="GW77" s="175"/>
      <c r="GX77" s="175"/>
      <c r="GY77" s="175"/>
      <c r="GZ77" s="175"/>
      <c r="HA77" s="175"/>
      <c r="HB77" s="175"/>
      <c r="HC77" s="175"/>
      <c r="HD77" s="175"/>
      <c r="HE77" s="175"/>
      <c r="HF77" s="175"/>
      <c r="HG77" s="175"/>
      <c r="HH77" s="175"/>
      <c r="HI77" s="175"/>
      <c r="HJ77" s="175"/>
      <c r="HK77" s="175"/>
      <c r="HL77" s="175"/>
      <c r="HM77" s="175"/>
      <c r="HN77" s="175"/>
      <c r="HO77" s="175"/>
      <c r="HP77" s="175"/>
      <c r="HQ77" s="175"/>
      <c r="HR77" s="175"/>
      <c r="HS77" s="175"/>
      <c r="HT77" s="175"/>
      <c r="HU77" s="175"/>
      <c r="HV77" s="175"/>
      <c r="HW77" s="175"/>
      <c r="HX77" s="175"/>
      <c r="HY77" s="175"/>
      <c r="HZ77" s="175"/>
      <c r="IA77" s="175"/>
      <c r="IB77" s="175"/>
      <c r="IC77" s="175"/>
      <c r="ID77" s="175"/>
      <c r="IE77" s="175"/>
      <c r="IF77" s="175"/>
      <c r="IG77" s="175"/>
      <c r="IH77" s="175"/>
      <c r="II77" s="175"/>
      <c r="IJ77" s="175"/>
      <c r="IK77" s="175"/>
      <c r="IL77" s="175"/>
      <c r="IM77" s="175"/>
      <c r="IN77" s="175"/>
      <c r="IO77" s="175"/>
      <c r="IP77" s="175"/>
      <c r="IQ77" s="175"/>
      <c r="IR77" s="175"/>
      <c r="IS77" s="175"/>
      <c r="IT77" s="175"/>
      <c r="IU77" s="175"/>
      <c r="IV77" s="175"/>
    </row>
    <row r="78" spans="1:5" ht="24" thickBot="1">
      <c r="A78" s="270" t="s">
        <v>1447</v>
      </c>
      <c r="B78" s="1525">
        <v>300</v>
      </c>
      <c r="C78" s="1525">
        <v>13000</v>
      </c>
      <c r="D78" s="1161">
        <v>34033</v>
      </c>
      <c r="E78" s="1522">
        <f>SUM(B78:D78)</f>
        <v>47333</v>
      </c>
    </row>
    <row r="79" spans="1:5" ht="42" customHeight="1">
      <c r="A79" s="265" t="s">
        <v>473</v>
      </c>
      <c r="B79" s="1523">
        <f>SUM(B49:B78)</f>
        <v>66150</v>
      </c>
      <c r="C79" s="1523">
        <f>SUM(C49:C78)</f>
        <v>608872</v>
      </c>
      <c r="D79" s="1523">
        <f>SUM(D49:D78)</f>
        <v>215738</v>
      </c>
      <c r="E79" s="1524">
        <f>SUM(E49:E78)</f>
        <v>890760</v>
      </c>
    </row>
    <row r="80" spans="1:5" ht="8.25" customHeight="1" thickBot="1">
      <c r="A80" s="270"/>
      <c r="B80" s="1181"/>
      <c r="C80" s="1181"/>
      <c r="D80" s="1181"/>
      <c r="E80" s="1505"/>
    </row>
    <row r="81" spans="1:5" ht="23.25">
      <c r="A81" s="1513" t="s">
        <v>1178</v>
      </c>
      <c r="B81" s="1161"/>
      <c r="C81" s="1161"/>
      <c r="D81" s="1161"/>
      <c r="E81" s="1485"/>
    </row>
    <row r="82" spans="1:5" ht="23.25" hidden="1">
      <c r="A82" s="1484"/>
      <c r="B82" s="1161"/>
      <c r="C82" s="1161"/>
      <c r="D82" s="1161"/>
      <c r="E82" s="1485"/>
    </row>
    <row r="83" spans="1:256" ht="23.25">
      <c r="A83" s="1486" t="s">
        <v>1448</v>
      </c>
      <c r="B83" s="1520">
        <v>9367</v>
      </c>
      <c r="C83" s="1488">
        <v>102071</v>
      </c>
      <c r="D83" s="1488">
        <v>1074835</v>
      </c>
      <c r="E83" s="1489">
        <f>SUM(B83:D83)</f>
        <v>1186273</v>
      </c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6"/>
      <c r="BY83" s="156"/>
      <c r="BZ83" s="156"/>
      <c r="CA83" s="156"/>
      <c r="CB83" s="156"/>
      <c r="CC83" s="156"/>
      <c r="CD83" s="156"/>
      <c r="CE83" s="156"/>
      <c r="CF83" s="156"/>
      <c r="CG83" s="156"/>
      <c r="CH83" s="156"/>
      <c r="CI83" s="156"/>
      <c r="CJ83" s="156"/>
      <c r="CK83" s="156"/>
      <c r="CL83" s="156"/>
      <c r="CM83" s="156"/>
      <c r="CN83" s="156"/>
      <c r="CO83" s="156"/>
      <c r="CP83" s="156"/>
      <c r="CQ83" s="156"/>
      <c r="CR83" s="156"/>
      <c r="CS83" s="156"/>
      <c r="CT83" s="156"/>
      <c r="CU83" s="156"/>
      <c r="CV83" s="156"/>
      <c r="CW83" s="156"/>
      <c r="CX83" s="156"/>
      <c r="CY83" s="156"/>
      <c r="CZ83" s="156"/>
      <c r="DA83" s="156"/>
      <c r="DB83" s="156"/>
      <c r="DC83" s="156"/>
      <c r="DD83" s="156"/>
      <c r="DE83" s="156"/>
      <c r="DF83" s="156"/>
      <c r="DG83" s="156"/>
      <c r="DH83" s="156"/>
      <c r="DI83" s="156"/>
      <c r="DJ83" s="156"/>
      <c r="DK83" s="156"/>
      <c r="DL83" s="156"/>
      <c r="DM83" s="156"/>
      <c r="DN83" s="156"/>
      <c r="DO83" s="156"/>
      <c r="DP83" s="156"/>
      <c r="DQ83" s="156"/>
      <c r="DR83" s="156"/>
      <c r="DS83" s="156"/>
      <c r="DT83" s="156"/>
      <c r="DU83" s="156"/>
      <c r="DV83" s="156"/>
      <c r="DW83" s="156"/>
      <c r="DX83" s="156"/>
      <c r="DY83" s="156"/>
      <c r="DZ83" s="156"/>
      <c r="EA83" s="156"/>
      <c r="EB83" s="156"/>
      <c r="EC83" s="156"/>
      <c r="ED83" s="156"/>
      <c r="EE83" s="156"/>
      <c r="EF83" s="156"/>
      <c r="EG83" s="156"/>
      <c r="EH83" s="156"/>
      <c r="EI83" s="156"/>
      <c r="EJ83" s="156"/>
      <c r="EK83" s="156"/>
      <c r="EL83" s="156"/>
      <c r="EM83" s="156"/>
      <c r="EN83" s="156"/>
      <c r="EO83" s="156"/>
      <c r="EP83" s="156"/>
      <c r="EQ83" s="156"/>
      <c r="ER83" s="156"/>
      <c r="ES83" s="156"/>
      <c r="ET83" s="156"/>
      <c r="EU83" s="156"/>
      <c r="EV83" s="156"/>
      <c r="EW83" s="156"/>
      <c r="EX83" s="156"/>
      <c r="EY83" s="156"/>
      <c r="EZ83" s="156"/>
      <c r="FA83" s="156"/>
      <c r="FB83" s="156"/>
      <c r="FC83" s="156"/>
      <c r="FD83" s="156"/>
      <c r="FE83" s="156"/>
      <c r="FF83" s="156"/>
      <c r="FG83" s="156"/>
      <c r="FH83" s="156"/>
      <c r="FI83" s="156"/>
      <c r="FJ83" s="156"/>
      <c r="FK83" s="156"/>
      <c r="FL83" s="156"/>
      <c r="FM83" s="156"/>
      <c r="FN83" s="156"/>
      <c r="FO83" s="156"/>
      <c r="FP83" s="156"/>
      <c r="FQ83" s="156"/>
      <c r="FR83" s="156"/>
      <c r="FS83" s="156"/>
      <c r="FT83" s="156"/>
      <c r="FU83" s="156"/>
      <c r="FV83" s="156"/>
      <c r="FW83" s="156"/>
      <c r="FX83" s="156"/>
      <c r="FY83" s="156"/>
      <c r="FZ83" s="156"/>
      <c r="GA83" s="156"/>
      <c r="GB83" s="156"/>
      <c r="GC83" s="156"/>
      <c r="GD83" s="156"/>
      <c r="GE83" s="156"/>
      <c r="GF83" s="156"/>
      <c r="GG83" s="156"/>
      <c r="GH83" s="156"/>
      <c r="GI83" s="156"/>
      <c r="GJ83" s="156"/>
      <c r="GK83" s="156"/>
      <c r="GL83" s="156"/>
      <c r="GM83" s="156"/>
      <c r="GN83" s="156"/>
      <c r="GO83" s="156"/>
      <c r="GP83" s="156"/>
      <c r="GQ83" s="156"/>
      <c r="GR83" s="156"/>
      <c r="GS83" s="156"/>
      <c r="GT83" s="156"/>
      <c r="GU83" s="156"/>
      <c r="GV83" s="156"/>
      <c r="GW83" s="156"/>
      <c r="GX83" s="156"/>
      <c r="GY83" s="156"/>
      <c r="GZ83" s="156"/>
      <c r="HA83" s="156"/>
      <c r="HB83" s="156"/>
      <c r="HC83" s="156"/>
      <c r="HD83" s="156"/>
      <c r="HE83" s="156"/>
      <c r="HF83" s="156"/>
      <c r="HG83" s="156"/>
      <c r="HH83" s="156"/>
      <c r="HI83" s="156"/>
      <c r="HJ83" s="156"/>
      <c r="HK83" s="156"/>
      <c r="HL83" s="156"/>
      <c r="HM83" s="156"/>
      <c r="HN83" s="156"/>
      <c r="HO83" s="156"/>
      <c r="HP83" s="156"/>
      <c r="HQ83" s="156"/>
      <c r="HR83" s="156"/>
      <c r="HS83" s="156"/>
      <c r="HT83" s="156"/>
      <c r="HU83" s="156"/>
      <c r="HV83" s="156"/>
      <c r="HW83" s="156"/>
      <c r="HX83" s="156"/>
      <c r="HY83" s="156"/>
      <c r="HZ83" s="156"/>
      <c r="IA83" s="156"/>
      <c r="IB83" s="156"/>
      <c r="IC83" s="156"/>
      <c r="ID83" s="156"/>
      <c r="IE83" s="156"/>
      <c r="IF83" s="156"/>
      <c r="IG83" s="156"/>
      <c r="IH83" s="156"/>
      <c r="II83" s="156"/>
      <c r="IJ83" s="156"/>
      <c r="IK83" s="156"/>
      <c r="IL83" s="156"/>
      <c r="IM83" s="156"/>
      <c r="IN83" s="156"/>
      <c r="IO83" s="156"/>
      <c r="IP83" s="156"/>
      <c r="IQ83" s="156"/>
      <c r="IR83" s="156"/>
      <c r="IS83" s="156"/>
      <c r="IT83" s="156"/>
      <c r="IU83" s="156"/>
      <c r="IV83" s="156"/>
    </row>
    <row r="84" spans="1:5" ht="23.25" hidden="1">
      <c r="A84" s="1484"/>
      <c r="B84" s="1161"/>
      <c r="C84" s="1161"/>
      <c r="D84" s="1161"/>
      <c r="E84" s="1485"/>
    </row>
    <row r="85" spans="1:5" ht="23.25">
      <c r="A85" s="1486" t="s">
        <v>1449</v>
      </c>
      <c r="B85" s="1488">
        <v>42427</v>
      </c>
      <c r="C85" s="1488">
        <v>332548</v>
      </c>
      <c r="D85" s="1488">
        <v>3369772</v>
      </c>
      <c r="E85" s="1489">
        <f>SUM(B85:D85)</f>
        <v>3744747</v>
      </c>
    </row>
    <row r="86" spans="1:5" ht="23.25" hidden="1">
      <c r="A86" s="1484"/>
      <c r="B86" s="1161"/>
      <c r="C86" s="1161"/>
      <c r="D86" s="1161"/>
      <c r="E86" s="1489">
        <f>SUM(B86:D86)</f>
        <v>0</v>
      </c>
    </row>
    <row r="87" spans="1:5" ht="23.25">
      <c r="A87" s="1484" t="s">
        <v>1549</v>
      </c>
      <c r="B87" s="1158" t="s">
        <v>464</v>
      </c>
      <c r="C87" s="1158" t="s">
        <v>464</v>
      </c>
      <c r="D87" s="1158" t="s">
        <v>464</v>
      </c>
      <c r="E87" s="2512" t="s">
        <v>464</v>
      </c>
    </row>
    <row r="88" spans="1:5" ht="24" thickBot="1">
      <c r="A88" s="1506" t="s">
        <v>1450</v>
      </c>
      <c r="B88" s="1507">
        <v>725</v>
      </c>
      <c r="C88" s="1507">
        <v>5430</v>
      </c>
      <c r="D88" s="1504">
        <v>52847</v>
      </c>
      <c r="E88" s="1508">
        <f>SUM(B88:D88)</f>
        <v>59002</v>
      </c>
    </row>
    <row r="89" spans="1:5" ht="23.25" hidden="1">
      <c r="A89" s="1491"/>
      <c r="B89" s="1509"/>
      <c r="C89" s="1509"/>
      <c r="D89" s="1493"/>
      <c r="E89" s="1494"/>
    </row>
    <row r="90" spans="1:5" ht="24" hidden="1" thickBot="1">
      <c r="A90" s="1484"/>
      <c r="B90" s="1158"/>
      <c r="C90" s="1158"/>
      <c r="D90" s="1161"/>
      <c r="E90" s="1485"/>
    </row>
    <row r="91" spans="1:5" ht="36.75" customHeight="1" thickBot="1">
      <c r="A91" s="224" t="s">
        <v>473</v>
      </c>
      <c r="B91" s="719" t="s">
        <v>464</v>
      </c>
      <c r="C91" s="719">
        <f>SUM(C83:C90)</f>
        <v>440049</v>
      </c>
      <c r="D91" s="719">
        <f>SUM(D83:D90)</f>
        <v>4497454</v>
      </c>
      <c r="E91" s="1369">
        <f>SUM(E83:E90)</f>
        <v>4990022</v>
      </c>
    </row>
    <row r="92" spans="1:5" ht="12.75" customHeight="1" thickBot="1">
      <c r="A92" s="272"/>
      <c r="B92" s="1395"/>
      <c r="C92" s="1395"/>
      <c r="D92" s="1395"/>
      <c r="E92" s="1505"/>
    </row>
    <row r="93" ht="10.5" customHeight="1"/>
  </sheetData>
  <sheetProtection/>
  <printOptions/>
  <pageMargins left="0.87" right="0.984251968503937" top="0.45" bottom="0.984251968503937" header="0.5118110236220472" footer="0.5118110236220472"/>
  <pageSetup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7"/>
  <sheetViews>
    <sheetView zoomScale="72" zoomScaleNormal="72" zoomScalePageLayoutView="0" workbookViewId="0" topLeftCell="A1">
      <selection activeCell="P27" sqref="P27"/>
    </sheetView>
  </sheetViews>
  <sheetFormatPr defaultColWidth="9.140625" defaultRowHeight="12.75"/>
  <cols>
    <col min="1" max="1" width="18.8515625" style="304" customWidth="1"/>
    <col min="2" max="2" width="11.8515625" style="158" customWidth="1"/>
    <col min="3" max="3" width="10.28125" style="392" customWidth="1"/>
    <col min="4" max="4" width="12.28125" style="304" customWidth="1"/>
    <col min="5" max="5" width="9.28125" style="304" bestFit="1" customWidth="1"/>
    <col min="6" max="6" width="9.28125" style="392" bestFit="1" customWidth="1"/>
    <col min="7" max="7" width="12.7109375" style="304" bestFit="1" customWidth="1"/>
    <col min="8" max="8" width="9.28125" style="304" bestFit="1" customWidth="1"/>
    <col min="9" max="9" width="10.421875" style="392" customWidth="1"/>
    <col min="10" max="10" width="12.28125" style="304" bestFit="1" customWidth="1"/>
    <col min="11" max="11" width="18.28125" style="575" customWidth="1"/>
    <col min="12" max="12" width="10.28125" style="304" customWidth="1"/>
    <col min="13" max="13" width="11.421875" style="304" customWidth="1"/>
    <col min="14" max="16384" width="9.140625" style="304" customWidth="1"/>
  </cols>
  <sheetData>
    <row r="1" spans="1:11" s="328" customFormat="1" ht="18.75">
      <c r="A1" s="190" t="s">
        <v>561</v>
      </c>
      <c r="B1" s="190"/>
      <c r="C1" s="809"/>
      <c r="D1" s="190"/>
      <c r="E1" s="190"/>
      <c r="F1" s="809"/>
      <c r="I1" s="573"/>
      <c r="K1" s="574"/>
    </row>
    <row r="2" spans="1:11" s="328" customFormat="1" ht="18.75">
      <c r="A2" s="180" t="s">
        <v>565</v>
      </c>
      <c r="B2" s="190"/>
      <c r="C2" s="809"/>
      <c r="D2" s="190"/>
      <c r="E2" s="190"/>
      <c r="F2" s="809"/>
      <c r="I2" s="573"/>
      <c r="K2" s="574"/>
    </row>
    <row r="3" spans="1:11" s="328" customFormat="1" ht="20.25" thickBot="1">
      <c r="A3" s="190" t="s">
        <v>1403</v>
      </c>
      <c r="B3" s="190"/>
      <c r="C3" s="809"/>
      <c r="D3" s="190"/>
      <c r="E3" s="190"/>
      <c r="F3" s="809"/>
      <c r="I3" s="573"/>
      <c r="K3" s="574"/>
    </row>
    <row r="4" spans="1:11" ht="16.5" customHeight="1" thickBot="1">
      <c r="A4" s="198"/>
      <c r="B4" s="2847" t="s">
        <v>1209</v>
      </c>
      <c r="C4" s="2848"/>
      <c r="D4" s="2849"/>
      <c r="E4" s="2847" t="s">
        <v>519</v>
      </c>
      <c r="F4" s="2848"/>
      <c r="G4" s="2849"/>
      <c r="H4" s="2847" t="s">
        <v>518</v>
      </c>
      <c r="I4" s="2848"/>
      <c r="J4" s="2849"/>
      <c r="K4" s="193"/>
    </row>
    <row r="5" spans="1:11" ht="16.5" customHeight="1">
      <c r="A5" s="185" t="s">
        <v>566</v>
      </c>
      <c r="B5" s="198" t="s">
        <v>567</v>
      </c>
      <c r="C5" s="811" t="s">
        <v>568</v>
      </c>
      <c r="D5" s="198" t="s">
        <v>569</v>
      </c>
      <c r="E5" s="198" t="s">
        <v>567</v>
      </c>
      <c r="F5" s="811" t="s">
        <v>568</v>
      </c>
      <c r="G5" s="198" t="s">
        <v>569</v>
      </c>
      <c r="H5" s="198" t="s">
        <v>567</v>
      </c>
      <c r="I5" s="811" t="s">
        <v>568</v>
      </c>
      <c r="J5" s="198" t="s">
        <v>569</v>
      </c>
      <c r="K5" s="187" t="s">
        <v>570</v>
      </c>
    </row>
    <row r="6" spans="1:11" ht="16.5" customHeight="1">
      <c r="A6" s="185" t="s">
        <v>571</v>
      </c>
      <c r="B6" s="194" t="s">
        <v>572</v>
      </c>
      <c r="C6" s="812" t="s">
        <v>573</v>
      </c>
      <c r="D6" s="194" t="s">
        <v>574</v>
      </c>
      <c r="E6" s="194" t="s">
        <v>572</v>
      </c>
      <c r="F6" s="812" t="s">
        <v>573</v>
      </c>
      <c r="G6" s="194" t="s">
        <v>574</v>
      </c>
      <c r="H6" s="194" t="s">
        <v>572</v>
      </c>
      <c r="I6" s="812" t="s">
        <v>573</v>
      </c>
      <c r="J6" s="194" t="s">
        <v>574</v>
      </c>
      <c r="K6" s="187" t="s">
        <v>575</v>
      </c>
    </row>
    <row r="7" spans="1:11" ht="16.5" customHeight="1" thickBot="1">
      <c r="A7" s="581"/>
      <c r="B7" s="581" t="s">
        <v>444</v>
      </c>
      <c r="C7" s="813" t="s">
        <v>576</v>
      </c>
      <c r="D7" s="581" t="s">
        <v>577</v>
      </c>
      <c r="E7" s="199" t="s">
        <v>444</v>
      </c>
      <c r="F7" s="814" t="s">
        <v>576</v>
      </c>
      <c r="G7" s="199" t="s">
        <v>577</v>
      </c>
      <c r="H7" s="199" t="s">
        <v>444</v>
      </c>
      <c r="I7" s="814" t="s">
        <v>576</v>
      </c>
      <c r="J7" s="199" t="s">
        <v>577</v>
      </c>
      <c r="K7" s="736"/>
    </row>
    <row r="8" spans="1:23" s="328" customFormat="1" ht="23.25" customHeight="1" thickBot="1">
      <c r="A8" s="815" t="s">
        <v>578</v>
      </c>
      <c r="B8" s="182">
        <f>SUM(E8,H8)</f>
        <v>75436</v>
      </c>
      <c r="C8" s="183">
        <f>(D8*1000)/B8</f>
        <v>130.574261625749</v>
      </c>
      <c r="D8" s="183">
        <f>SUM(G8+J8)</f>
        <v>9850</v>
      </c>
      <c r="E8" s="182">
        <f>SUM(E14+E21+E27+E31)</f>
        <v>45468</v>
      </c>
      <c r="F8" s="183">
        <f>(G8*1000)/E8</f>
        <v>102.95152634820093</v>
      </c>
      <c r="G8" s="183">
        <f>SUM(G14+G21+G27+G31)</f>
        <v>4681</v>
      </c>
      <c r="H8" s="182">
        <f>SUM(H9+H14+H27+H31)</f>
        <v>29968</v>
      </c>
      <c r="I8" s="183">
        <f>(J8*1000)/H8</f>
        <v>172.48398291510944</v>
      </c>
      <c r="J8" s="184">
        <f>SUM(J9+J14+J27+J31)</f>
        <v>5169</v>
      </c>
      <c r="K8" s="860" t="s">
        <v>579</v>
      </c>
      <c r="M8" s="214"/>
      <c r="U8" s="328">
        <v>48000</v>
      </c>
      <c r="V8" s="328">
        <v>219.49225774809074</v>
      </c>
      <c r="W8" s="328">
        <f>(U8*V8)/1000</f>
        <v>10535.628371908355</v>
      </c>
    </row>
    <row r="9" spans="1:30" s="328" customFormat="1" ht="20.25" customHeight="1">
      <c r="A9" s="376" t="s">
        <v>580</v>
      </c>
      <c r="B9" s="816">
        <f>H9</f>
        <v>6690</v>
      </c>
      <c r="C9" s="817">
        <f>(D9*1000)/B9</f>
        <v>248.72944693572495</v>
      </c>
      <c r="D9" s="818">
        <f>J9</f>
        <v>1664</v>
      </c>
      <c r="E9" s="790" t="s">
        <v>464</v>
      </c>
      <c r="F9" s="791" t="s">
        <v>464</v>
      </c>
      <c r="G9" s="792" t="s">
        <v>464</v>
      </c>
      <c r="H9" s="819">
        <f>SUM(H10:H12)</f>
        <v>6690</v>
      </c>
      <c r="I9" s="191">
        <f>(J9*1000)/H9</f>
        <v>248.72944693572495</v>
      </c>
      <c r="J9" s="2232">
        <f>SUM(J10:J12)</f>
        <v>1664</v>
      </c>
      <c r="K9" s="820" t="s">
        <v>581</v>
      </c>
      <c r="M9" s="214"/>
      <c r="U9" s="328">
        <v>2690</v>
      </c>
      <c r="V9" s="328">
        <v>234.95934959349594</v>
      </c>
      <c r="W9" s="328">
        <f aca="true" t="shared" si="0" ref="W9:W34">(U9*V9)/1000</f>
        <v>632.040650406504</v>
      </c>
      <c r="Y9" s="2693"/>
      <c r="Z9" s="2694"/>
      <c r="AA9" s="2694"/>
      <c r="AB9" s="2694"/>
      <c r="AC9" s="2694"/>
      <c r="AD9" s="2695"/>
    </row>
    <row r="10" spans="1:30" ht="16.5" customHeight="1">
      <c r="A10" s="378" t="s">
        <v>582</v>
      </c>
      <c r="B10" s="824">
        <f>SUM(H10)</f>
        <v>373</v>
      </c>
      <c r="C10" s="172">
        <f>(D10*1000)/B10</f>
        <v>0</v>
      </c>
      <c r="D10" s="935">
        <f>SUM(J10)</f>
        <v>0</v>
      </c>
      <c r="E10" s="864" t="s">
        <v>464</v>
      </c>
      <c r="F10" s="1796" t="s">
        <v>464</v>
      </c>
      <c r="G10" s="865" t="s">
        <v>464</v>
      </c>
      <c r="H10" s="942">
        <v>373</v>
      </c>
      <c r="I10" s="172">
        <f>(J10*1000)/H10</f>
        <v>0</v>
      </c>
      <c r="J10" s="935"/>
      <c r="K10" s="826" t="s">
        <v>583</v>
      </c>
      <c r="M10" s="214"/>
      <c r="U10" s="304">
        <v>150</v>
      </c>
      <c r="V10" s="304">
        <v>226.31578947368422</v>
      </c>
      <c r="W10" s="328">
        <f t="shared" si="0"/>
        <v>33.94736842105263</v>
      </c>
      <c r="Y10" s="2696"/>
      <c r="Z10" s="2697"/>
      <c r="AA10" s="2697"/>
      <c r="AB10" s="2698"/>
      <c r="AC10" s="2698"/>
      <c r="AD10" s="2699"/>
    </row>
    <row r="11" spans="1:30" ht="16.5" customHeight="1">
      <c r="A11" s="378" t="s">
        <v>584</v>
      </c>
      <c r="B11" s="824">
        <f>SUM(H11)</f>
        <v>224</v>
      </c>
      <c r="C11" s="1796" t="s">
        <v>464</v>
      </c>
      <c r="D11" s="935">
        <f>SUM(J11)</f>
        <v>33</v>
      </c>
      <c r="E11" s="864" t="s">
        <v>464</v>
      </c>
      <c r="F11" s="1796" t="s">
        <v>464</v>
      </c>
      <c r="G11" s="865" t="s">
        <v>464</v>
      </c>
      <c r="H11" s="942">
        <v>224</v>
      </c>
      <c r="I11" s="172">
        <f>(J11*1000)/H11</f>
        <v>147.32142857142858</v>
      </c>
      <c r="J11" s="865">
        <v>33</v>
      </c>
      <c r="K11" s="826" t="s">
        <v>584</v>
      </c>
      <c r="M11" s="214"/>
      <c r="U11" s="304">
        <v>90</v>
      </c>
      <c r="V11" s="304">
        <v>238.8888888888889</v>
      </c>
      <c r="W11" s="328">
        <f t="shared" si="0"/>
        <v>21.500000000000004</v>
      </c>
      <c r="Y11" s="2696"/>
      <c r="Z11" s="2698"/>
      <c r="AA11" s="2698"/>
      <c r="AB11" s="2698"/>
      <c r="AC11" s="2698"/>
      <c r="AD11" s="2699"/>
    </row>
    <row r="12" spans="1:30" ht="16.5" customHeight="1" thickBot="1">
      <c r="A12" s="378" t="s">
        <v>585</v>
      </c>
      <c r="B12" s="824">
        <f>SUM(H12)</f>
        <v>6093</v>
      </c>
      <c r="C12" s="172">
        <f>(D12*1000)/B12</f>
        <v>267.6842278023962</v>
      </c>
      <c r="D12" s="935">
        <f>SUM(J12)</f>
        <v>1631</v>
      </c>
      <c r="E12" s="864" t="s">
        <v>464</v>
      </c>
      <c r="F12" s="1796" t="s">
        <v>464</v>
      </c>
      <c r="G12" s="865" t="s">
        <v>464</v>
      </c>
      <c r="H12" s="942">
        <v>6093</v>
      </c>
      <c r="I12" s="172">
        <f>(J12*1000)/H12</f>
        <v>267.6842278023962</v>
      </c>
      <c r="J12" s="935">
        <v>1631</v>
      </c>
      <c r="K12" s="826" t="s">
        <v>585</v>
      </c>
      <c r="M12" s="214"/>
      <c r="U12" s="304">
        <v>2450</v>
      </c>
      <c r="V12" s="304">
        <v>237.0909090909091</v>
      </c>
      <c r="W12" s="328">
        <f t="shared" si="0"/>
        <v>580.8727272727273</v>
      </c>
      <c r="Y12" s="2696"/>
      <c r="Z12" s="2698"/>
      <c r="AA12" s="2698"/>
      <c r="AB12" s="2698"/>
      <c r="AC12" s="2698"/>
      <c r="AD12" s="2699"/>
    </row>
    <row r="13" spans="1:30" ht="16.5" customHeight="1" thickBot="1">
      <c r="A13" s="378"/>
      <c r="B13" s="821"/>
      <c r="C13" s="2225"/>
      <c r="D13" s="2226"/>
      <c r="E13" s="941"/>
      <c r="F13" s="939"/>
      <c r="G13" s="935"/>
      <c r="H13" s="942"/>
      <c r="I13" s="172"/>
      <c r="J13" s="935"/>
      <c r="K13" s="826"/>
      <c r="M13" s="214"/>
      <c r="W13" s="328">
        <f t="shared" si="0"/>
        <v>0</v>
      </c>
      <c r="Y13" s="2696"/>
      <c r="Z13" s="2700">
        <v>75436</v>
      </c>
      <c r="AA13" s="2701">
        <f>(AB13*1000)/Z13</f>
        <v>130.574261625749</v>
      </c>
      <c r="AB13" s="2701">
        <v>9850</v>
      </c>
      <c r="AC13" s="2698"/>
      <c r="AD13" s="2699"/>
    </row>
    <row r="14" spans="1:30" ht="16.5" customHeight="1">
      <c r="A14" s="386" t="s">
        <v>588</v>
      </c>
      <c r="B14" s="827">
        <f>SUM(E14,H14)</f>
        <v>23401</v>
      </c>
      <c r="C14" s="2227">
        <f aca="true" t="shared" si="1" ref="C14:C19">(D14*1000)/B14</f>
        <v>92.09008162044357</v>
      </c>
      <c r="D14" s="2228">
        <f>SUM(D15:D20)</f>
        <v>2155</v>
      </c>
      <c r="E14" s="944">
        <f>SUM(E15:E20)</f>
        <v>21412</v>
      </c>
      <c r="F14" s="939">
        <f aca="true" t="shared" si="2" ref="F14:F19">(G14*1000)/E14</f>
        <v>94.66654212591071</v>
      </c>
      <c r="G14" s="937">
        <f>SUM(G15:G19)</f>
        <v>2027</v>
      </c>
      <c r="H14" s="2229">
        <f>SUM(H15:H20)</f>
        <v>1989</v>
      </c>
      <c r="I14" s="939">
        <f>(J14*1000)/H14</f>
        <v>64.35394670688788</v>
      </c>
      <c r="J14" s="937">
        <f>SUM(J15:J20)</f>
        <v>128</v>
      </c>
      <c r="K14" s="829" t="s">
        <v>589</v>
      </c>
      <c r="M14" s="214"/>
      <c r="U14" s="304">
        <v>9410</v>
      </c>
      <c r="V14" s="304">
        <v>205.0955414012739</v>
      </c>
      <c r="W14" s="328">
        <f t="shared" si="0"/>
        <v>1929.9490445859872</v>
      </c>
      <c r="Y14" s="2696"/>
      <c r="Z14" s="2698"/>
      <c r="AA14" s="2698"/>
      <c r="AB14" s="2698"/>
      <c r="AC14" s="2698"/>
      <c r="AD14" s="2699"/>
    </row>
    <row r="15" spans="1:30" ht="16.5" customHeight="1">
      <c r="A15" s="378" t="s">
        <v>590</v>
      </c>
      <c r="B15" s="569">
        <f>SUM(E15)</f>
        <v>1194</v>
      </c>
      <c r="C15" s="172">
        <f t="shared" si="1"/>
        <v>92.12730318257957</v>
      </c>
      <c r="D15" s="2226">
        <f>SUM(G15)</f>
        <v>110</v>
      </c>
      <c r="E15" s="941">
        <v>1194</v>
      </c>
      <c r="F15" s="172">
        <f t="shared" si="2"/>
        <v>92.12730318257957</v>
      </c>
      <c r="G15" s="935">
        <v>110</v>
      </c>
      <c r="H15" s="864" t="s">
        <v>464</v>
      </c>
      <c r="I15" s="1796" t="s">
        <v>464</v>
      </c>
      <c r="J15" s="865" t="s">
        <v>464</v>
      </c>
      <c r="K15" s="826" t="s">
        <v>591</v>
      </c>
      <c r="M15" s="214"/>
      <c r="U15" s="304">
        <v>480</v>
      </c>
      <c r="V15" s="304">
        <v>200</v>
      </c>
      <c r="W15" s="328">
        <f t="shared" si="0"/>
        <v>96</v>
      </c>
      <c r="Y15" s="2696"/>
      <c r="Z15" s="2698"/>
      <c r="AA15" s="2698"/>
      <c r="AB15" s="2698"/>
      <c r="AC15" s="2698"/>
      <c r="AD15" s="2699"/>
    </row>
    <row r="16" spans="1:30" s="328" customFormat="1" ht="16.5" customHeight="1">
      <c r="A16" s="378" t="s">
        <v>592</v>
      </c>
      <c r="B16" s="569">
        <f>SUM(E16)</f>
        <v>1517</v>
      </c>
      <c r="C16" s="172">
        <f t="shared" si="1"/>
        <v>98.2201713909031</v>
      </c>
      <c r="D16" s="2226">
        <f>SUM(G16)</f>
        <v>149</v>
      </c>
      <c r="E16" s="941">
        <v>1517</v>
      </c>
      <c r="F16" s="172">
        <f t="shared" si="2"/>
        <v>98.2201713909031</v>
      </c>
      <c r="G16" s="935">
        <v>149</v>
      </c>
      <c r="H16" s="864" t="s">
        <v>464</v>
      </c>
      <c r="I16" s="1796" t="s">
        <v>464</v>
      </c>
      <c r="J16" s="865" t="s">
        <v>464</v>
      </c>
      <c r="K16" s="826" t="s">
        <v>593</v>
      </c>
      <c r="M16" s="214"/>
      <c r="U16" s="328">
        <v>610</v>
      </c>
      <c r="V16" s="328">
        <v>207.5268817204301</v>
      </c>
      <c r="W16" s="328">
        <f t="shared" si="0"/>
        <v>126.59139784946237</v>
      </c>
      <c r="Y16" s="2702"/>
      <c r="Z16" s="2697" t="s">
        <v>385</v>
      </c>
      <c r="AA16" s="2697"/>
      <c r="AB16" s="2697"/>
      <c r="AC16" s="2697"/>
      <c r="AD16" s="2703"/>
    </row>
    <row r="17" spans="1:30" ht="16.5" customHeight="1">
      <c r="A17" s="378" t="s">
        <v>594</v>
      </c>
      <c r="B17" s="569">
        <f>SUM(E17+H17)</f>
        <v>6465</v>
      </c>
      <c r="C17" s="172">
        <f t="shared" si="1"/>
        <v>90.64191802010828</v>
      </c>
      <c r="D17" s="2226">
        <f>SUM(G17+J17)</f>
        <v>586</v>
      </c>
      <c r="E17" s="941">
        <v>4476</v>
      </c>
      <c r="F17" s="172">
        <f t="shared" si="2"/>
        <v>102.32350312779268</v>
      </c>
      <c r="G17" s="935">
        <v>458</v>
      </c>
      <c r="H17" s="864">
        <v>1989</v>
      </c>
      <c r="I17" s="172">
        <f>(J17*1000)/H17</f>
        <v>64.35394670688788</v>
      </c>
      <c r="J17" s="865">
        <v>128</v>
      </c>
      <c r="K17" s="826" t="s">
        <v>594</v>
      </c>
      <c r="M17" s="214"/>
      <c r="U17" s="304">
        <v>2600</v>
      </c>
      <c r="V17" s="304">
        <v>270.6666666666667</v>
      </c>
      <c r="W17" s="328">
        <f t="shared" si="0"/>
        <v>703.7333333333333</v>
      </c>
      <c r="Y17" s="2696"/>
      <c r="Z17" s="2698" t="s">
        <v>1518</v>
      </c>
      <c r="AA17" s="2698"/>
      <c r="AB17" s="2698"/>
      <c r="AC17" s="2698"/>
      <c r="AD17" s="2699"/>
    </row>
    <row r="18" spans="1:30" ht="16.5" customHeight="1">
      <c r="A18" s="378" t="s">
        <v>599</v>
      </c>
      <c r="B18" s="569">
        <f>SUM(E18)</f>
        <v>6715</v>
      </c>
      <c r="C18" s="172">
        <f t="shared" si="1"/>
        <v>92.03276247207744</v>
      </c>
      <c r="D18" s="2226">
        <f>SUM(G18)</f>
        <v>618</v>
      </c>
      <c r="E18" s="941">
        <v>6715</v>
      </c>
      <c r="F18" s="172">
        <f t="shared" si="2"/>
        <v>92.03276247207744</v>
      </c>
      <c r="G18" s="935">
        <v>618</v>
      </c>
      <c r="H18" s="864" t="s">
        <v>464</v>
      </c>
      <c r="I18" s="1796" t="s">
        <v>464</v>
      </c>
      <c r="J18" s="865" t="s">
        <v>464</v>
      </c>
      <c r="K18" s="826" t="s">
        <v>599</v>
      </c>
      <c r="M18" s="214"/>
      <c r="N18" s="161"/>
      <c r="O18" s="161"/>
      <c r="P18" s="161"/>
      <c r="Q18" s="161"/>
      <c r="R18" s="161"/>
      <c r="S18" s="161"/>
      <c r="T18" s="161"/>
      <c r="U18" s="161">
        <v>2700</v>
      </c>
      <c r="V18" s="161">
        <v>200</v>
      </c>
      <c r="W18" s="328">
        <f t="shared" si="0"/>
        <v>540</v>
      </c>
      <c r="X18" s="161"/>
      <c r="Y18" s="2696"/>
      <c r="Z18" s="2698"/>
      <c r="AA18" s="2698"/>
      <c r="AB18" s="2698"/>
      <c r="AC18" s="2698"/>
      <c r="AD18" s="2699"/>
    </row>
    <row r="19" spans="1:30" ht="16.5" customHeight="1">
      <c r="A19" s="378" t="s">
        <v>598</v>
      </c>
      <c r="B19" s="569">
        <f>SUM(E19)</f>
        <v>7510</v>
      </c>
      <c r="C19" s="172">
        <f t="shared" si="1"/>
        <v>92.14380825565912</v>
      </c>
      <c r="D19" s="2226">
        <f>SUM(G19)</f>
        <v>692</v>
      </c>
      <c r="E19" s="941">
        <v>7510</v>
      </c>
      <c r="F19" s="172">
        <f t="shared" si="2"/>
        <v>92.14380825565912</v>
      </c>
      <c r="G19" s="935">
        <v>692</v>
      </c>
      <c r="H19" s="864" t="s">
        <v>464</v>
      </c>
      <c r="I19" s="1796" t="s">
        <v>464</v>
      </c>
      <c r="J19" s="865" t="s">
        <v>464</v>
      </c>
      <c r="K19" s="826" t="s">
        <v>598</v>
      </c>
      <c r="M19" s="214"/>
      <c r="N19" s="161"/>
      <c r="O19" s="161"/>
      <c r="P19" s="161"/>
      <c r="Q19" s="161"/>
      <c r="R19" s="161"/>
      <c r="S19" s="161"/>
      <c r="T19" s="161"/>
      <c r="U19" s="161">
        <v>3020</v>
      </c>
      <c r="V19" s="161">
        <v>204.54545454545456</v>
      </c>
      <c r="W19" s="328">
        <f t="shared" si="0"/>
        <v>617.7272727272729</v>
      </c>
      <c r="X19" s="161"/>
      <c r="Y19" s="2696"/>
      <c r="Z19" s="2698"/>
      <c r="AA19" s="2698"/>
      <c r="AB19" s="2698"/>
      <c r="AC19" s="2698"/>
      <c r="AD19" s="2699"/>
    </row>
    <row r="20" spans="1:30" ht="16.5" customHeight="1">
      <c r="A20" s="738"/>
      <c r="B20" s="569"/>
      <c r="C20" s="941"/>
      <c r="D20" s="940"/>
      <c r="E20" s="941"/>
      <c r="F20" s="941"/>
      <c r="G20" s="940"/>
      <c r="H20" s="936"/>
      <c r="I20" s="941"/>
      <c r="J20" s="940"/>
      <c r="K20" s="826"/>
      <c r="M20" s="214"/>
      <c r="N20" s="576"/>
      <c r="O20" s="576"/>
      <c r="P20" s="576"/>
      <c r="Q20" s="577"/>
      <c r="R20" s="577"/>
      <c r="S20" s="577"/>
      <c r="T20" s="217"/>
      <c r="U20" s="217"/>
      <c r="V20" s="576"/>
      <c r="W20" s="328">
        <f t="shared" si="0"/>
        <v>0</v>
      </c>
      <c r="X20" s="161"/>
      <c r="Y20" s="2696"/>
      <c r="Z20" s="2698"/>
      <c r="AA20" s="2698"/>
      <c r="AB20" s="2698"/>
      <c r="AC20" s="2698"/>
      <c r="AD20" s="2699"/>
    </row>
    <row r="21" spans="1:30" ht="16.5" customHeight="1" thickBot="1">
      <c r="A21" s="386" t="s">
        <v>601</v>
      </c>
      <c r="B21" s="827">
        <f>SUM(E21,H21)</f>
        <v>3999</v>
      </c>
      <c r="C21" s="2227">
        <f>(D21*1000)/B21</f>
        <v>213.55338834708678</v>
      </c>
      <c r="D21" s="2228">
        <f>SUM(G21,J21)</f>
        <v>854</v>
      </c>
      <c r="E21" s="944">
        <f>SUM(E22:E25)</f>
        <v>3999</v>
      </c>
      <c r="F21" s="939">
        <f>(G21*1000)/E21</f>
        <v>213.55338834708678</v>
      </c>
      <c r="G21" s="937">
        <f>SUM(G22:G25)</f>
        <v>854</v>
      </c>
      <c r="H21" s="864" t="s">
        <v>464</v>
      </c>
      <c r="I21" s="1796" t="s">
        <v>464</v>
      </c>
      <c r="J21" s="865" t="s">
        <v>464</v>
      </c>
      <c r="K21" s="829" t="s">
        <v>602</v>
      </c>
      <c r="M21" s="214"/>
      <c r="N21" s="576"/>
      <c r="O21" s="576"/>
      <c r="P21" s="576"/>
      <c r="Q21" s="577"/>
      <c r="R21" s="577"/>
      <c r="S21" s="577"/>
      <c r="T21" s="217"/>
      <c r="U21" s="217">
        <v>1608</v>
      </c>
      <c r="V21" s="576">
        <v>227.5888717156105</v>
      </c>
      <c r="W21" s="328">
        <f t="shared" si="0"/>
        <v>365.96290571870173</v>
      </c>
      <c r="X21" s="161"/>
      <c r="Y21" s="2704"/>
      <c r="Z21" s="2705"/>
      <c r="AA21" s="2705"/>
      <c r="AB21" s="2705"/>
      <c r="AC21" s="2705"/>
      <c r="AD21" s="2706"/>
    </row>
    <row r="22" spans="1:27" ht="16.5" customHeight="1">
      <c r="A22" s="378" t="s">
        <v>603</v>
      </c>
      <c r="B22" s="707" t="s">
        <v>464</v>
      </c>
      <c r="C22" s="1796" t="s">
        <v>464</v>
      </c>
      <c r="D22" s="865" t="s">
        <v>464</v>
      </c>
      <c r="E22" s="1796" t="s">
        <v>464</v>
      </c>
      <c r="F22" s="1796" t="s">
        <v>464</v>
      </c>
      <c r="G22" s="865" t="s">
        <v>464</v>
      </c>
      <c r="H22" s="864" t="s">
        <v>464</v>
      </c>
      <c r="I22" s="1796" t="s">
        <v>464</v>
      </c>
      <c r="J22" s="865" t="s">
        <v>464</v>
      </c>
      <c r="K22" s="826" t="s">
        <v>604</v>
      </c>
      <c r="M22" s="214"/>
      <c r="N22" s="576"/>
      <c r="O22" s="576"/>
      <c r="P22" s="576"/>
      <c r="Q22" s="217"/>
      <c r="R22" s="217"/>
      <c r="S22" s="217"/>
      <c r="T22" s="217"/>
      <c r="U22" s="217" t="s">
        <v>464</v>
      </c>
      <c r="V22" s="576">
        <v>207.3578595317726</v>
      </c>
      <c r="W22" s="328" t="e">
        <f t="shared" si="0"/>
        <v>#VALUE!</v>
      </c>
      <c r="X22" s="161"/>
      <c r="Y22" s="161"/>
      <c r="Z22" s="161"/>
      <c r="AA22" s="161"/>
    </row>
    <row r="23" spans="1:27" ht="16.5" customHeight="1">
      <c r="A23" s="378" t="s">
        <v>605</v>
      </c>
      <c r="B23" s="707" t="s">
        <v>464</v>
      </c>
      <c r="C23" s="1796" t="s">
        <v>464</v>
      </c>
      <c r="D23" s="865" t="s">
        <v>464</v>
      </c>
      <c r="E23" s="1796" t="s">
        <v>464</v>
      </c>
      <c r="F23" s="1796" t="s">
        <v>464</v>
      </c>
      <c r="G23" s="865" t="s">
        <v>464</v>
      </c>
      <c r="H23" s="864" t="s">
        <v>464</v>
      </c>
      <c r="I23" s="1796" t="s">
        <v>464</v>
      </c>
      <c r="J23" s="865" t="s">
        <v>464</v>
      </c>
      <c r="K23" s="826" t="s">
        <v>606</v>
      </c>
      <c r="M23" s="1841"/>
      <c r="N23" s="161"/>
      <c r="O23" s="161"/>
      <c r="P23" s="161"/>
      <c r="Q23" s="161"/>
      <c r="R23" s="161"/>
      <c r="S23" s="161"/>
      <c r="T23" s="161"/>
      <c r="U23" s="161" t="s">
        <v>464</v>
      </c>
      <c r="V23" s="161">
        <v>300</v>
      </c>
      <c r="W23" s="328" t="e">
        <f t="shared" si="0"/>
        <v>#VALUE!</v>
      </c>
      <c r="X23" s="161"/>
      <c r="Y23" s="161"/>
      <c r="Z23" s="161"/>
      <c r="AA23" s="161"/>
    </row>
    <row r="24" spans="1:27" ht="16.5" customHeight="1">
      <c r="A24" s="378" t="s">
        <v>607</v>
      </c>
      <c r="B24" s="569">
        <f>SUM(E24)</f>
        <v>1972</v>
      </c>
      <c r="C24" s="172">
        <f>(D24*1000)/B24</f>
        <v>296.1460446247464</v>
      </c>
      <c r="D24" s="935">
        <f>SUM(G24)</f>
        <v>584</v>
      </c>
      <c r="E24" s="1796">
        <v>1972</v>
      </c>
      <c r="F24" s="172">
        <f>(G24*1000)/E24</f>
        <v>296.1460446247464</v>
      </c>
      <c r="G24" s="865">
        <v>584</v>
      </c>
      <c r="H24" s="864" t="s">
        <v>464</v>
      </c>
      <c r="I24" s="1796" t="s">
        <v>464</v>
      </c>
      <c r="J24" s="865" t="s">
        <v>464</v>
      </c>
      <c r="K24" s="826" t="s">
        <v>607</v>
      </c>
      <c r="M24" s="214"/>
      <c r="N24" s="161"/>
      <c r="O24" s="161"/>
      <c r="P24" s="161"/>
      <c r="Q24" s="161"/>
      <c r="R24" s="161"/>
      <c r="S24" s="161"/>
      <c r="T24" s="161"/>
      <c r="U24" s="161">
        <v>793</v>
      </c>
      <c r="V24" s="161">
        <v>350.4273504273504</v>
      </c>
      <c r="W24" s="328">
        <f t="shared" si="0"/>
        <v>277.88888888888886</v>
      </c>
      <c r="X24" s="161"/>
      <c r="Y24" s="161"/>
      <c r="Z24" s="161"/>
      <c r="AA24" s="161"/>
    </row>
    <row r="25" spans="1:27" ht="16.5" customHeight="1">
      <c r="A25" s="378" t="s">
        <v>608</v>
      </c>
      <c r="B25" s="569">
        <f>SUM(E25)</f>
        <v>2027</v>
      </c>
      <c r="C25" s="172">
        <f>(D25*1000)/B25</f>
        <v>133.2017760236803</v>
      </c>
      <c r="D25" s="935">
        <f>SUM(G25)</f>
        <v>270</v>
      </c>
      <c r="E25" s="941">
        <v>2027</v>
      </c>
      <c r="F25" s="172">
        <f>(G25*1000)/E25</f>
        <v>133.2017760236803</v>
      </c>
      <c r="G25" s="935">
        <v>270</v>
      </c>
      <c r="H25" s="864" t="s">
        <v>464</v>
      </c>
      <c r="I25" s="1796" t="s">
        <v>464</v>
      </c>
      <c r="J25" s="865" t="s">
        <v>464</v>
      </c>
      <c r="K25" s="826" t="s">
        <v>608</v>
      </c>
      <c r="M25" s="214"/>
      <c r="N25" s="161"/>
      <c r="O25" s="161"/>
      <c r="P25" s="161"/>
      <c r="Q25" s="161"/>
      <c r="R25" s="161"/>
      <c r="S25" s="161"/>
      <c r="T25" s="161"/>
      <c r="U25" s="161">
        <v>815</v>
      </c>
      <c r="V25" s="161">
        <v>158.45070422535213</v>
      </c>
      <c r="W25" s="328">
        <f t="shared" si="0"/>
        <v>129.13732394366198</v>
      </c>
      <c r="X25" s="161"/>
      <c r="Y25" s="161"/>
      <c r="Z25" s="161"/>
      <c r="AA25" s="161"/>
    </row>
    <row r="26" spans="1:27" s="328" customFormat="1" ht="16.5" customHeight="1">
      <c r="A26" s="737"/>
      <c r="B26" s="692"/>
      <c r="C26" s="944"/>
      <c r="D26" s="943"/>
      <c r="E26" s="944"/>
      <c r="F26" s="944"/>
      <c r="G26" s="943"/>
      <c r="H26" s="938"/>
      <c r="I26" s="944"/>
      <c r="J26" s="943"/>
      <c r="K26" s="830"/>
      <c r="M26" s="214"/>
      <c r="N26" s="579"/>
      <c r="O26" s="579"/>
      <c r="P26" s="579"/>
      <c r="Q26" s="579"/>
      <c r="R26" s="579"/>
      <c r="S26" s="579"/>
      <c r="T26" s="579"/>
      <c r="U26" s="579"/>
      <c r="V26" s="579"/>
      <c r="W26" s="328">
        <f t="shared" si="0"/>
        <v>0</v>
      </c>
      <c r="X26" s="579"/>
      <c r="Y26" s="579"/>
      <c r="Z26" s="579"/>
      <c r="AA26" s="579"/>
    </row>
    <row r="27" spans="1:27" ht="16.5" customHeight="1">
      <c r="A27" s="737" t="s">
        <v>1286</v>
      </c>
      <c r="B27" s="827">
        <f>SUM(E27,H27)</f>
        <v>5260</v>
      </c>
      <c r="C27" s="2227">
        <f>(D27*1000)/B27</f>
        <v>151.90114068441065</v>
      </c>
      <c r="D27" s="2228">
        <f>SUM(G27,J27)</f>
        <v>799</v>
      </c>
      <c r="E27" s="944">
        <f>SUM(E28:E29)</f>
        <v>2400</v>
      </c>
      <c r="F27" s="939">
        <f>(G27*1000)/E27</f>
        <v>158.33333333333334</v>
      </c>
      <c r="G27" s="943">
        <f>SUM(G28:G29)</f>
        <v>380</v>
      </c>
      <c r="H27" s="938">
        <f>SUM(H28:H29)</f>
        <v>2860</v>
      </c>
      <c r="I27" s="939">
        <f>(J27*1000)/H27</f>
        <v>146.5034965034965</v>
      </c>
      <c r="J27" s="943">
        <f>SUM(J28:J29)</f>
        <v>419</v>
      </c>
      <c r="K27" s="829" t="s">
        <v>1286</v>
      </c>
      <c r="M27" s="214"/>
      <c r="N27" s="161"/>
      <c r="O27" s="161"/>
      <c r="P27" s="161"/>
      <c r="Q27" s="161"/>
      <c r="R27" s="161"/>
      <c r="S27" s="161"/>
      <c r="T27" s="161"/>
      <c r="U27" s="161">
        <v>2115</v>
      </c>
      <c r="V27" s="161">
        <v>286.14157527417746</v>
      </c>
      <c r="W27" s="328">
        <f t="shared" si="0"/>
        <v>605.1894317048854</v>
      </c>
      <c r="X27" s="161"/>
      <c r="Y27" s="161"/>
      <c r="Z27" s="161"/>
      <c r="AA27" s="161"/>
    </row>
    <row r="28" spans="1:23" ht="16.5" customHeight="1">
      <c r="A28" s="738" t="s">
        <v>586</v>
      </c>
      <c r="B28" s="569">
        <f>SUM(E28+H28)</f>
        <v>3519</v>
      </c>
      <c r="C28" s="2225">
        <f>(D28*1000)/B28</f>
        <v>138.39158851946576</v>
      </c>
      <c r="D28" s="940">
        <f>SUM(G28+J28)</f>
        <v>487</v>
      </c>
      <c r="E28" s="941">
        <v>1679</v>
      </c>
      <c r="F28" s="172">
        <f>(G28*1000)/E28</f>
        <v>142.9422275163788</v>
      </c>
      <c r="G28" s="940">
        <v>240</v>
      </c>
      <c r="H28" s="936">
        <v>1840</v>
      </c>
      <c r="I28" s="172">
        <f>(J28*1000)/H28</f>
        <v>134.2391304347826</v>
      </c>
      <c r="J28" s="940">
        <v>247</v>
      </c>
      <c r="K28" s="826" t="s">
        <v>586</v>
      </c>
      <c r="M28" s="214"/>
      <c r="U28" s="304">
        <v>1415</v>
      </c>
      <c r="V28" s="304">
        <v>281.8838088690271</v>
      </c>
      <c r="W28" s="328">
        <f t="shared" si="0"/>
        <v>398.86558954967336</v>
      </c>
    </row>
    <row r="29" spans="1:23" ht="16.5" customHeight="1">
      <c r="A29" s="738" t="s">
        <v>587</v>
      </c>
      <c r="B29" s="569">
        <f>SUM(E29+H29)</f>
        <v>1741</v>
      </c>
      <c r="C29" s="2225">
        <f>(D29*1000)/B29</f>
        <v>179.20735209649627</v>
      </c>
      <c r="D29" s="940">
        <f>SUM(G29+J29)</f>
        <v>312</v>
      </c>
      <c r="E29" s="941">
        <v>721</v>
      </c>
      <c r="F29" s="172">
        <f>(G29*1000)/E29</f>
        <v>194.1747572815534</v>
      </c>
      <c r="G29" s="940">
        <v>140</v>
      </c>
      <c r="H29" s="936">
        <v>1020</v>
      </c>
      <c r="I29" s="172">
        <f>(J29*1000)/H29</f>
        <v>168.62745098039215</v>
      </c>
      <c r="J29" s="940">
        <v>172</v>
      </c>
      <c r="K29" s="826" t="s">
        <v>587</v>
      </c>
      <c r="M29" s="214"/>
      <c r="U29" s="304">
        <v>700</v>
      </c>
      <c r="V29" s="304">
        <v>410</v>
      </c>
      <c r="W29" s="328">
        <f t="shared" si="0"/>
        <v>287</v>
      </c>
    </row>
    <row r="30" spans="1:23" ht="16.5" customHeight="1">
      <c r="A30" s="738"/>
      <c r="B30" s="569"/>
      <c r="C30" s="941"/>
      <c r="D30" s="940"/>
      <c r="E30" s="941"/>
      <c r="F30" s="941"/>
      <c r="G30" s="940"/>
      <c r="H30" s="936"/>
      <c r="I30" s="941"/>
      <c r="J30" s="940"/>
      <c r="K30" s="826"/>
      <c r="M30" s="214"/>
      <c r="W30" s="328">
        <f t="shared" si="0"/>
        <v>0</v>
      </c>
    </row>
    <row r="31" spans="1:23" ht="16.5" customHeight="1">
      <c r="A31" s="737" t="s">
        <v>1287</v>
      </c>
      <c r="B31" s="827">
        <f>SUM(E31,H31)</f>
        <v>36086</v>
      </c>
      <c r="C31" s="2227">
        <f>(D31*1000)/B31</f>
        <v>121.32128803414066</v>
      </c>
      <c r="D31" s="2228">
        <f>SUM(G31,J31)</f>
        <v>4378</v>
      </c>
      <c r="E31" s="944">
        <f>SUM(E32:E34)</f>
        <v>17657</v>
      </c>
      <c r="F31" s="939">
        <f>(G31*1000)/E31</f>
        <v>80.42136263238376</v>
      </c>
      <c r="G31" s="943">
        <f>SUM(G32:G34)</f>
        <v>1420</v>
      </c>
      <c r="H31" s="938">
        <f>SUM(H32:H34)</f>
        <v>18429</v>
      </c>
      <c r="I31" s="939">
        <f>(J31*1000)/H31</f>
        <v>160.50789516522872</v>
      </c>
      <c r="J31" s="943">
        <f>SUM(J32:J34)</f>
        <v>2958</v>
      </c>
      <c r="K31" s="829" t="s">
        <v>1287</v>
      </c>
      <c r="M31" s="214"/>
      <c r="U31" s="304">
        <v>14510</v>
      </c>
      <c r="V31" s="304">
        <v>225.55110220440883</v>
      </c>
      <c r="W31" s="328">
        <f t="shared" si="0"/>
        <v>3272.746492985972</v>
      </c>
    </row>
    <row r="32" spans="1:23" ht="16.5" customHeight="1">
      <c r="A32" s="738" t="s">
        <v>1273</v>
      </c>
      <c r="B32" s="569">
        <f>SUM(E32+H32)</f>
        <v>18279</v>
      </c>
      <c r="C32" s="2225">
        <f>(D32*1000)/B32</f>
        <v>79.59954045626128</v>
      </c>
      <c r="D32" s="940">
        <f>SUM(G32+J32)</f>
        <v>1455</v>
      </c>
      <c r="E32" s="941">
        <v>17657</v>
      </c>
      <c r="F32" s="172">
        <f>(G32*1000)/E32</f>
        <v>80.42136263238376</v>
      </c>
      <c r="G32" s="940">
        <v>1420</v>
      </c>
      <c r="H32" s="936">
        <v>622</v>
      </c>
      <c r="I32" s="172">
        <f>(J32*1000)/H32</f>
        <v>56.27009646302251</v>
      </c>
      <c r="J32" s="940">
        <v>35</v>
      </c>
      <c r="K32" s="826" t="s">
        <v>1273</v>
      </c>
      <c r="M32" s="214"/>
      <c r="U32" s="304">
        <v>7350</v>
      </c>
      <c r="V32" s="304">
        <v>82.6923076923077</v>
      </c>
      <c r="W32" s="328">
        <f t="shared" si="0"/>
        <v>607.7884615384615</v>
      </c>
    </row>
    <row r="33" spans="1:23" ht="16.5" customHeight="1">
      <c r="A33" s="738" t="s">
        <v>596</v>
      </c>
      <c r="B33" s="569">
        <f>SUM(H33)</f>
        <v>8953</v>
      </c>
      <c r="C33" s="172">
        <f>(D33*1000)/B33</f>
        <v>187.31151569306377</v>
      </c>
      <c r="D33" s="940">
        <f>SUM(J33)</f>
        <v>1677</v>
      </c>
      <c r="E33" s="1796" t="s">
        <v>464</v>
      </c>
      <c r="F33" s="1796" t="s">
        <v>464</v>
      </c>
      <c r="G33" s="865" t="s">
        <v>464</v>
      </c>
      <c r="H33" s="936">
        <v>8953</v>
      </c>
      <c r="I33" s="172">
        <f>(J33*1000)/H33</f>
        <v>187.31151569306377</v>
      </c>
      <c r="J33" s="940">
        <v>1677</v>
      </c>
      <c r="K33" s="826" t="s">
        <v>596</v>
      </c>
      <c r="M33" s="214"/>
      <c r="U33" s="304">
        <v>3600</v>
      </c>
      <c r="V33" s="304">
        <v>205.08474576271186</v>
      </c>
      <c r="W33" s="328">
        <f t="shared" si="0"/>
        <v>738.3050847457628</v>
      </c>
    </row>
    <row r="34" spans="1:23" ht="16.5" customHeight="1" thickBot="1">
      <c r="A34" s="831" t="s">
        <v>595</v>
      </c>
      <c r="B34" s="571">
        <f>SUM(H34)</f>
        <v>8854</v>
      </c>
      <c r="C34" s="195">
        <f>(D34*1000)/B34</f>
        <v>140.72735486785635</v>
      </c>
      <c r="D34" s="945">
        <f>SUM(J34)</f>
        <v>1246</v>
      </c>
      <c r="E34" s="2190" t="s">
        <v>464</v>
      </c>
      <c r="F34" s="2190" t="s">
        <v>464</v>
      </c>
      <c r="G34" s="2230" t="s">
        <v>464</v>
      </c>
      <c r="H34" s="571">
        <v>8854</v>
      </c>
      <c r="I34" s="195">
        <f>(J34*1000)/H34</f>
        <v>140.72735486785635</v>
      </c>
      <c r="J34" s="572">
        <v>1246</v>
      </c>
      <c r="K34" s="834" t="s">
        <v>595</v>
      </c>
      <c r="M34" s="214"/>
      <c r="U34" s="304">
        <v>3560</v>
      </c>
      <c r="V34" s="304">
        <v>280.3370786516854</v>
      </c>
      <c r="W34" s="328">
        <f t="shared" si="0"/>
        <v>997.9999999999999</v>
      </c>
    </row>
    <row r="35" spans="2:10" ht="16.5" customHeight="1">
      <c r="B35" s="157"/>
      <c r="C35" s="160"/>
      <c r="D35" s="160"/>
      <c r="E35" s="160"/>
      <c r="F35" s="160"/>
      <c r="G35" s="160"/>
      <c r="H35" s="160"/>
      <c r="I35" s="160"/>
      <c r="J35" s="160"/>
    </row>
    <row r="36" spans="2:10" ht="16.5" customHeight="1" thickBot="1">
      <c r="B36" s="157"/>
      <c r="C36" s="160"/>
      <c r="D36" s="160"/>
      <c r="E36" s="160"/>
      <c r="F36" s="160"/>
      <c r="G36" s="160"/>
      <c r="H36" s="160"/>
      <c r="I36" s="160"/>
      <c r="J36" s="160"/>
    </row>
    <row r="37" spans="1:11" ht="16.5" customHeight="1" thickBot="1">
      <c r="A37" s="2321"/>
      <c r="B37" s="2844" t="s">
        <v>520</v>
      </c>
      <c r="C37" s="2845"/>
      <c r="D37" s="2846"/>
      <c r="E37" s="835" t="s">
        <v>143</v>
      </c>
      <c r="F37" s="836"/>
      <c r="G37" s="837"/>
      <c r="H37" s="838"/>
      <c r="I37" s="192"/>
      <c r="J37" s="801"/>
      <c r="K37" s="193"/>
    </row>
    <row r="38" spans="1:11" ht="16.5" customHeight="1">
      <c r="A38" s="2322" t="s">
        <v>566</v>
      </c>
      <c r="B38" s="2323" t="s">
        <v>567</v>
      </c>
      <c r="C38" s="2323" t="s">
        <v>568</v>
      </c>
      <c r="D38" s="2323" t="s">
        <v>569</v>
      </c>
      <c r="E38" s="186" t="s">
        <v>567</v>
      </c>
      <c r="F38" s="186" t="s">
        <v>568</v>
      </c>
      <c r="G38" s="186" t="s">
        <v>569</v>
      </c>
      <c r="H38" s="186" t="s">
        <v>567</v>
      </c>
      <c r="I38" s="186" t="s">
        <v>568</v>
      </c>
      <c r="J38" s="186" t="s">
        <v>569</v>
      </c>
      <c r="K38" s="187" t="s">
        <v>570</v>
      </c>
    </row>
    <row r="39" spans="1:11" ht="16.5" customHeight="1">
      <c r="A39" s="2324" t="s">
        <v>571</v>
      </c>
      <c r="B39" s="2325" t="s">
        <v>572</v>
      </c>
      <c r="C39" s="2325" t="s">
        <v>573</v>
      </c>
      <c r="D39" s="2325" t="s">
        <v>574</v>
      </c>
      <c r="E39" s="188" t="s">
        <v>572</v>
      </c>
      <c r="F39" s="188" t="s">
        <v>573</v>
      </c>
      <c r="G39" s="188" t="s">
        <v>574</v>
      </c>
      <c r="H39" s="188" t="s">
        <v>572</v>
      </c>
      <c r="I39" s="188" t="s">
        <v>573</v>
      </c>
      <c r="J39" s="188" t="s">
        <v>574</v>
      </c>
      <c r="K39" s="194" t="s">
        <v>575</v>
      </c>
    </row>
    <row r="40" spans="1:11" ht="16.5" customHeight="1" thickBot="1">
      <c r="A40" s="2322"/>
      <c r="B40" s="2326" t="s">
        <v>444</v>
      </c>
      <c r="C40" s="2326" t="s">
        <v>576</v>
      </c>
      <c r="D40" s="2326" t="s">
        <v>577</v>
      </c>
      <c r="E40" s="189" t="s">
        <v>444</v>
      </c>
      <c r="F40" s="189" t="s">
        <v>576</v>
      </c>
      <c r="G40" s="189" t="s">
        <v>577</v>
      </c>
      <c r="H40" s="189" t="s">
        <v>444</v>
      </c>
      <c r="I40" s="189" t="s">
        <v>576</v>
      </c>
      <c r="J40" s="189" t="s">
        <v>577</v>
      </c>
      <c r="K40" s="736"/>
    </row>
    <row r="41" spans="1:256" s="580" customFormat="1" ht="21.75" customHeight="1" thickBot="1">
      <c r="A41" s="2327" t="s">
        <v>578</v>
      </c>
      <c r="B41" s="2336">
        <f>SUM(B42+B47+B54+B60+B64)</f>
        <v>511851</v>
      </c>
      <c r="C41" s="2329">
        <f>(D41*1000)/B41</f>
        <v>107.33201654387703</v>
      </c>
      <c r="D41" s="2329">
        <f>SUM(D42+D47+D54+D60+D64)</f>
        <v>54938</v>
      </c>
      <c r="E41" s="182">
        <f>SUM(E42+E64+E47+E60)</f>
        <v>6310</v>
      </c>
      <c r="F41" s="183">
        <f>(G41*1000)/E41</f>
        <v>78.44690966719493</v>
      </c>
      <c r="G41" s="184">
        <f>SUM(G64)</f>
        <v>495</v>
      </c>
      <c r="H41" s="384" t="s">
        <v>464</v>
      </c>
      <c r="I41" s="384" t="s">
        <v>464</v>
      </c>
      <c r="J41" s="385" t="s">
        <v>464</v>
      </c>
      <c r="K41" s="839" t="s">
        <v>579</v>
      </c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9"/>
      <c r="AX41" s="579"/>
      <c r="AY41" s="579"/>
      <c r="AZ41" s="579"/>
      <c r="BA41" s="579"/>
      <c r="BB41" s="579"/>
      <c r="BC41" s="579"/>
      <c r="BD41" s="579"/>
      <c r="BE41" s="579"/>
      <c r="BF41" s="579"/>
      <c r="BG41" s="579"/>
      <c r="BH41" s="579"/>
      <c r="BI41" s="579"/>
      <c r="BJ41" s="579"/>
      <c r="BK41" s="579"/>
      <c r="BL41" s="579"/>
      <c r="BM41" s="579"/>
      <c r="BN41" s="579"/>
      <c r="BO41" s="579"/>
      <c r="BP41" s="579"/>
      <c r="BQ41" s="579"/>
      <c r="BR41" s="579"/>
      <c r="BS41" s="579"/>
      <c r="BT41" s="579"/>
      <c r="BU41" s="579"/>
      <c r="BV41" s="579"/>
      <c r="BW41" s="579"/>
      <c r="BX41" s="579"/>
      <c r="BY41" s="579"/>
      <c r="BZ41" s="579"/>
      <c r="CA41" s="579"/>
      <c r="CB41" s="579"/>
      <c r="CC41" s="579"/>
      <c r="CD41" s="579"/>
      <c r="CE41" s="579"/>
      <c r="CF41" s="579"/>
      <c r="CG41" s="579"/>
      <c r="CH41" s="579"/>
      <c r="CI41" s="579"/>
      <c r="CJ41" s="579"/>
      <c r="CK41" s="579"/>
      <c r="CL41" s="579"/>
      <c r="CM41" s="579"/>
      <c r="CN41" s="579"/>
      <c r="CO41" s="579"/>
      <c r="CP41" s="579"/>
      <c r="CQ41" s="579"/>
      <c r="CR41" s="579"/>
      <c r="CS41" s="579"/>
      <c r="CT41" s="579"/>
      <c r="CU41" s="579"/>
      <c r="CV41" s="579"/>
      <c r="CW41" s="579"/>
      <c r="CX41" s="579"/>
      <c r="CY41" s="579"/>
      <c r="CZ41" s="579"/>
      <c r="DA41" s="579"/>
      <c r="DB41" s="579"/>
      <c r="DC41" s="579"/>
      <c r="DD41" s="579"/>
      <c r="DE41" s="579"/>
      <c r="DF41" s="579"/>
      <c r="DG41" s="579"/>
      <c r="DH41" s="579"/>
      <c r="DI41" s="579"/>
      <c r="DJ41" s="579"/>
      <c r="DK41" s="579"/>
      <c r="DL41" s="579"/>
      <c r="DM41" s="579"/>
      <c r="DN41" s="579"/>
      <c r="DO41" s="579"/>
      <c r="DP41" s="579"/>
      <c r="DQ41" s="579"/>
      <c r="DR41" s="579"/>
      <c r="DS41" s="579"/>
      <c r="DT41" s="579"/>
      <c r="DU41" s="579"/>
      <c r="DV41" s="579"/>
      <c r="DW41" s="579"/>
      <c r="DX41" s="579"/>
      <c r="DY41" s="579"/>
      <c r="DZ41" s="579"/>
      <c r="EA41" s="579"/>
      <c r="EB41" s="579"/>
      <c r="EC41" s="579"/>
      <c r="ED41" s="579"/>
      <c r="EE41" s="579"/>
      <c r="EF41" s="579"/>
      <c r="EG41" s="579"/>
      <c r="EH41" s="579"/>
      <c r="EI41" s="579"/>
      <c r="EJ41" s="579"/>
      <c r="EK41" s="579"/>
      <c r="EL41" s="579"/>
      <c r="EM41" s="579"/>
      <c r="EN41" s="579"/>
      <c r="EO41" s="579"/>
      <c r="EP41" s="579"/>
      <c r="EQ41" s="579"/>
      <c r="ER41" s="579"/>
      <c r="ES41" s="579"/>
      <c r="ET41" s="579"/>
      <c r="EU41" s="579"/>
      <c r="EV41" s="579"/>
      <c r="EW41" s="579"/>
      <c r="EX41" s="579"/>
      <c r="EY41" s="579"/>
      <c r="EZ41" s="579"/>
      <c r="FA41" s="579"/>
      <c r="FB41" s="579"/>
      <c r="FC41" s="579"/>
      <c r="FD41" s="579"/>
      <c r="FE41" s="579"/>
      <c r="FF41" s="579"/>
      <c r="FG41" s="579"/>
      <c r="FH41" s="579"/>
      <c r="FI41" s="579"/>
      <c r="FJ41" s="579"/>
      <c r="FK41" s="579"/>
      <c r="FL41" s="579"/>
      <c r="FM41" s="579"/>
      <c r="FN41" s="579"/>
      <c r="FO41" s="579"/>
      <c r="FP41" s="579"/>
      <c r="FQ41" s="579"/>
      <c r="FR41" s="579"/>
      <c r="FS41" s="579"/>
      <c r="FT41" s="579"/>
      <c r="FU41" s="579"/>
      <c r="FV41" s="579"/>
      <c r="FW41" s="579"/>
      <c r="FX41" s="579"/>
      <c r="FY41" s="579"/>
      <c r="FZ41" s="579"/>
      <c r="GA41" s="579"/>
      <c r="GB41" s="579"/>
      <c r="GC41" s="579"/>
      <c r="GD41" s="579"/>
      <c r="GE41" s="579"/>
      <c r="GF41" s="579"/>
      <c r="GG41" s="579"/>
      <c r="GH41" s="579"/>
      <c r="GI41" s="579"/>
      <c r="GJ41" s="579"/>
      <c r="GK41" s="579"/>
      <c r="GL41" s="579"/>
      <c r="GM41" s="579"/>
      <c r="GN41" s="579"/>
      <c r="GO41" s="579"/>
      <c r="GP41" s="579"/>
      <c r="GQ41" s="579"/>
      <c r="GR41" s="579"/>
      <c r="GS41" s="579"/>
      <c r="GT41" s="579"/>
      <c r="GU41" s="579"/>
      <c r="GV41" s="579"/>
      <c r="GW41" s="579"/>
      <c r="GX41" s="579"/>
      <c r="GY41" s="579"/>
      <c r="GZ41" s="579"/>
      <c r="HA41" s="579"/>
      <c r="HB41" s="579"/>
      <c r="HC41" s="579"/>
      <c r="HD41" s="579"/>
      <c r="HE41" s="579"/>
      <c r="HF41" s="579"/>
      <c r="HG41" s="579"/>
      <c r="HH41" s="579"/>
      <c r="HI41" s="579"/>
      <c r="HJ41" s="579"/>
      <c r="HK41" s="579"/>
      <c r="HL41" s="579"/>
      <c r="HM41" s="579"/>
      <c r="HN41" s="579"/>
      <c r="HO41" s="579"/>
      <c r="HP41" s="579"/>
      <c r="HQ41" s="579"/>
      <c r="HR41" s="579"/>
      <c r="HS41" s="579"/>
      <c r="HT41" s="579"/>
      <c r="HU41" s="579"/>
      <c r="HV41" s="579"/>
      <c r="HW41" s="579"/>
      <c r="HX41" s="579"/>
      <c r="HY41" s="579"/>
      <c r="HZ41" s="579"/>
      <c r="IA41" s="579"/>
      <c r="IB41" s="579"/>
      <c r="IC41" s="579"/>
      <c r="ID41" s="579"/>
      <c r="IE41" s="579"/>
      <c r="IF41" s="579"/>
      <c r="IG41" s="579"/>
      <c r="IH41" s="579"/>
      <c r="II41" s="579"/>
      <c r="IJ41" s="579"/>
      <c r="IK41" s="579"/>
      <c r="IL41" s="579"/>
      <c r="IM41" s="579"/>
      <c r="IN41" s="579"/>
      <c r="IO41" s="579"/>
      <c r="IP41" s="579"/>
      <c r="IQ41" s="579"/>
      <c r="IR41" s="579"/>
      <c r="IS41" s="579"/>
      <c r="IT41" s="579"/>
      <c r="IU41" s="579"/>
      <c r="IV41" s="579"/>
    </row>
    <row r="42" spans="1:11" s="328" customFormat="1" ht="19.5" customHeight="1">
      <c r="A42" s="2257" t="s">
        <v>580</v>
      </c>
      <c r="B42" s="2341">
        <f>SUM(B43:B45)</f>
        <v>112769</v>
      </c>
      <c r="C42" s="2330">
        <f>(D42*1000)/B42</f>
        <v>105.61413154324326</v>
      </c>
      <c r="D42" s="2331">
        <f>SUM(D43:D45)</f>
        <v>11910</v>
      </c>
      <c r="E42" s="693">
        <f>SUM(E43:E45)</f>
        <v>210</v>
      </c>
      <c r="F42" s="842" t="s">
        <v>464</v>
      </c>
      <c r="G42" s="841" t="s">
        <v>464</v>
      </c>
      <c r="H42" s="706" t="s">
        <v>464</v>
      </c>
      <c r="I42" s="842" t="s">
        <v>464</v>
      </c>
      <c r="J42" s="843" t="s">
        <v>464</v>
      </c>
      <c r="K42" s="820" t="s">
        <v>581</v>
      </c>
    </row>
    <row r="43" spans="1:11" ht="16.5" customHeight="1">
      <c r="A43" s="2333" t="s">
        <v>582</v>
      </c>
      <c r="B43" s="2342">
        <v>35128</v>
      </c>
      <c r="C43" s="941">
        <f>(D43*1000)/B43</f>
        <v>116.28900022773855</v>
      </c>
      <c r="D43" s="2226">
        <v>4085</v>
      </c>
      <c r="E43" s="382">
        <v>100</v>
      </c>
      <c r="F43" s="846" t="s">
        <v>464</v>
      </c>
      <c r="G43" s="841" t="s">
        <v>464</v>
      </c>
      <c r="H43" s="845" t="s">
        <v>464</v>
      </c>
      <c r="I43" s="846" t="s">
        <v>464</v>
      </c>
      <c r="J43" s="841" t="s">
        <v>464</v>
      </c>
      <c r="K43" s="826" t="s">
        <v>583</v>
      </c>
    </row>
    <row r="44" spans="1:11" ht="16.5" customHeight="1">
      <c r="A44" s="2333" t="s">
        <v>584</v>
      </c>
      <c r="B44" s="2342">
        <v>20641</v>
      </c>
      <c r="C44" s="941">
        <f>(D44*1000)/B44</f>
        <v>100.77031151591493</v>
      </c>
      <c r="D44" s="2226">
        <v>2080</v>
      </c>
      <c r="E44" s="846" t="s">
        <v>464</v>
      </c>
      <c r="F44" s="846" t="s">
        <v>464</v>
      </c>
      <c r="G44" s="841" t="s">
        <v>464</v>
      </c>
      <c r="H44" s="845" t="s">
        <v>464</v>
      </c>
      <c r="I44" s="846" t="s">
        <v>464</v>
      </c>
      <c r="J44" s="841" t="s">
        <v>464</v>
      </c>
      <c r="K44" s="826" t="s">
        <v>584</v>
      </c>
    </row>
    <row r="45" spans="1:11" ht="16.5" customHeight="1">
      <c r="A45" s="2333" t="s">
        <v>585</v>
      </c>
      <c r="B45" s="2342">
        <v>57000</v>
      </c>
      <c r="C45" s="941">
        <f>(D45*1000)/B45</f>
        <v>100.78947368421052</v>
      </c>
      <c r="D45" s="2226">
        <v>5745</v>
      </c>
      <c r="E45" s="382">
        <v>110</v>
      </c>
      <c r="F45" s="846" t="s">
        <v>464</v>
      </c>
      <c r="G45" s="841" t="s">
        <v>464</v>
      </c>
      <c r="H45" s="845" t="s">
        <v>464</v>
      </c>
      <c r="I45" s="846" t="s">
        <v>464</v>
      </c>
      <c r="J45" s="841" t="s">
        <v>464</v>
      </c>
      <c r="K45" s="826" t="s">
        <v>585</v>
      </c>
    </row>
    <row r="46" spans="1:11" ht="16.5" customHeight="1" thickBot="1">
      <c r="A46" s="2333"/>
      <c r="B46" s="2342"/>
      <c r="C46" s="2225"/>
      <c r="D46" s="2226"/>
      <c r="E46" s="170"/>
      <c r="F46" s="169"/>
      <c r="G46" s="825"/>
      <c r="H46" s="824"/>
      <c r="I46" s="169"/>
      <c r="J46" s="825"/>
      <c r="K46" s="826"/>
    </row>
    <row r="47" spans="1:15" ht="16.5" customHeight="1" thickBot="1">
      <c r="A47" s="2334" t="s">
        <v>588</v>
      </c>
      <c r="B47" s="2343">
        <f>SUM(B48:B52)</f>
        <v>231777</v>
      </c>
      <c r="C47" s="944">
        <f aca="true" t="shared" si="3" ref="C47:C52">(D47*1000)/B47</f>
        <v>69.98105938035266</v>
      </c>
      <c r="D47" s="2228">
        <f>SUM(D48:D53)</f>
        <v>16220</v>
      </c>
      <c r="E47" s="846">
        <f>SUM(E48:E52)</f>
        <v>600</v>
      </c>
      <c r="F47" s="846" t="s">
        <v>464</v>
      </c>
      <c r="G47" s="841" t="s">
        <v>464</v>
      </c>
      <c r="H47" s="845" t="s">
        <v>464</v>
      </c>
      <c r="I47" s="846" t="s">
        <v>464</v>
      </c>
      <c r="J47" s="841" t="s">
        <v>464</v>
      </c>
      <c r="K47" s="829" t="s">
        <v>589</v>
      </c>
      <c r="M47" s="2336"/>
      <c r="N47" s="2329"/>
      <c r="O47" s="2329"/>
    </row>
    <row r="48" spans="1:11" ht="16.5" customHeight="1">
      <c r="A48" s="2333" t="s">
        <v>590</v>
      </c>
      <c r="B48" s="2424">
        <v>27648</v>
      </c>
      <c r="C48" s="941">
        <f t="shared" si="3"/>
        <v>77.51012731481481</v>
      </c>
      <c r="D48" s="865">
        <v>2143</v>
      </c>
      <c r="E48" s="846" t="s">
        <v>464</v>
      </c>
      <c r="F48" s="846" t="s">
        <v>464</v>
      </c>
      <c r="G48" s="841" t="s">
        <v>464</v>
      </c>
      <c r="H48" s="845" t="s">
        <v>464</v>
      </c>
      <c r="I48" s="846" t="s">
        <v>464</v>
      </c>
      <c r="J48" s="841" t="s">
        <v>464</v>
      </c>
      <c r="K48" s="826" t="s">
        <v>591</v>
      </c>
    </row>
    <row r="49" spans="1:11" s="328" customFormat="1" ht="16.5" customHeight="1">
      <c r="A49" s="2333" t="s">
        <v>592</v>
      </c>
      <c r="B49" s="2424">
        <v>45174</v>
      </c>
      <c r="C49" s="941">
        <f t="shared" si="3"/>
        <v>33.182804267941734</v>
      </c>
      <c r="D49" s="865">
        <v>1499</v>
      </c>
      <c r="E49" s="846" t="s">
        <v>464</v>
      </c>
      <c r="F49" s="846" t="s">
        <v>464</v>
      </c>
      <c r="G49" s="841" t="s">
        <v>464</v>
      </c>
      <c r="H49" s="845" t="s">
        <v>464</v>
      </c>
      <c r="I49" s="846" t="s">
        <v>464</v>
      </c>
      <c r="J49" s="841" t="s">
        <v>464</v>
      </c>
      <c r="K49" s="826" t="s">
        <v>593</v>
      </c>
    </row>
    <row r="50" spans="1:11" ht="16.5" customHeight="1">
      <c r="A50" s="2333" t="s">
        <v>594</v>
      </c>
      <c r="B50" s="2342">
        <v>62019</v>
      </c>
      <c r="C50" s="941">
        <f t="shared" si="3"/>
        <v>57.40176397555588</v>
      </c>
      <c r="D50" s="2226">
        <v>3560</v>
      </c>
      <c r="E50" s="382">
        <v>600</v>
      </c>
      <c r="F50" s="846" t="s">
        <v>464</v>
      </c>
      <c r="G50" s="841" t="s">
        <v>464</v>
      </c>
      <c r="H50" s="845" t="s">
        <v>464</v>
      </c>
      <c r="I50" s="846" t="s">
        <v>464</v>
      </c>
      <c r="J50" s="841" t="s">
        <v>464</v>
      </c>
      <c r="K50" s="826" t="s">
        <v>594</v>
      </c>
    </row>
    <row r="51" spans="1:11" ht="16.5" customHeight="1">
      <c r="A51" s="2333" t="s">
        <v>599</v>
      </c>
      <c r="B51" s="2342">
        <v>56221</v>
      </c>
      <c r="C51" s="941">
        <f t="shared" si="3"/>
        <v>93.0257377136657</v>
      </c>
      <c r="D51" s="2226">
        <v>5230</v>
      </c>
      <c r="E51" s="846" t="s">
        <v>464</v>
      </c>
      <c r="F51" s="846" t="s">
        <v>464</v>
      </c>
      <c r="G51" s="841" t="s">
        <v>464</v>
      </c>
      <c r="H51" s="845" t="s">
        <v>464</v>
      </c>
      <c r="I51" s="846" t="s">
        <v>464</v>
      </c>
      <c r="J51" s="841" t="s">
        <v>464</v>
      </c>
      <c r="K51" s="826" t="s">
        <v>599</v>
      </c>
    </row>
    <row r="52" spans="1:11" ht="16.5" customHeight="1">
      <c r="A52" s="2333" t="s">
        <v>598</v>
      </c>
      <c r="B52" s="2342">
        <v>40715</v>
      </c>
      <c r="C52" s="941">
        <f t="shared" si="3"/>
        <v>93.03696426378485</v>
      </c>
      <c r="D52" s="2226">
        <v>3788</v>
      </c>
      <c r="E52" s="846" t="s">
        <v>464</v>
      </c>
      <c r="F52" s="846" t="s">
        <v>464</v>
      </c>
      <c r="G52" s="841" t="s">
        <v>464</v>
      </c>
      <c r="H52" s="845" t="s">
        <v>464</v>
      </c>
      <c r="I52" s="846" t="s">
        <v>464</v>
      </c>
      <c r="J52" s="841" t="s">
        <v>464</v>
      </c>
      <c r="K52" s="826" t="s">
        <v>598</v>
      </c>
    </row>
    <row r="53" spans="1:11" ht="16.5" customHeight="1">
      <c r="A53" s="1981"/>
      <c r="B53" s="2344"/>
      <c r="C53" s="941"/>
      <c r="D53" s="940"/>
      <c r="E53" s="541"/>
      <c r="F53" s="850"/>
      <c r="G53" s="851"/>
      <c r="H53" s="849"/>
      <c r="I53" s="850"/>
      <c r="J53" s="851"/>
      <c r="K53" s="826"/>
    </row>
    <row r="54" spans="1:11" ht="16.5" customHeight="1">
      <c r="A54" s="2334" t="s">
        <v>601</v>
      </c>
      <c r="B54" s="2343">
        <f>SUM(B55:B58)</f>
        <v>47575</v>
      </c>
      <c r="C54" s="2227">
        <f>(D54*1000)/B54</f>
        <v>187.34629532317393</v>
      </c>
      <c r="D54" s="2228">
        <f>SUM(D55:D58)</f>
        <v>8913</v>
      </c>
      <c r="E54" s="846" t="s">
        <v>464</v>
      </c>
      <c r="F54" s="846" t="s">
        <v>464</v>
      </c>
      <c r="G54" s="841" t="s">
        <v>464</v>
      </c>
      <c r="H54" s="845" t="s">
        <v>464</v>
      </c>
      <c r="I54" s="846" t="s">
        <v>464</v>
      </c>
      <c r="J54" s="841" t="s">
        <v>464</v>
      </c>
      <c r="K54" s="829" t="s">
        <v>602</v>
      </c>
    </row>
    <row r="55" spans="1:11" ht="16.5" customHeight="1">
      <c r="A55" s="2333" t="s">
        <v>603</v>
      </c>
      <c r="B55" s="2424">
        <v>331</v>
      </c>
      <c r="C55" s="2225">
        <f>(D55*1000)/B55</f>
        <v>114.8036253776435</v>
      </c>
      <c r="D55" s="865">
        <v>38</v>
      </c>
      <c r="E55" s="846" t="s">
        <v>464</v>
      </c>
      <c r="F55" s="846" t="s">
        <v>464</v>
      </c>
      <c r="G55" s="841" t="s">
        <v>464</v>
      </c>
      <c r="H55" s="845" t="s">
        <v>464</v>
      </c>
      <c r="I55" s="846" t="s">
        <v>464</v>
      </c>
      <c r="J55" s="841" t="s">
        <v>464</v>
      </c>
      <c r="K55" s="826" t="s">
        <v>604</v>
      </c>
    </row>
    <row r="56" spans="1:11" ht="16.5" customHeight="1">
      <c r="A56" s="2333" t="s">
        <v>605</v>
      </c>
      <c r="B56" s="2424">
        <v>237</v>
      </c>
      <c r="C56" s="2225">
        <f>(D56*1000)/B56</f>
        <v>232.06751054852322</v>
      </c>
      <c r="D56" s="865">
        <v>55</v>
      </c>
      <c r="E56" s="846" t="s">
        <v>464</v>
      </c>
      <c r="F56" s="846" t="s">
        <v>464</v>
      </c>
      <c r="G56" s="841" t="s">
        <v>464</v>
      </c>
      <c r="H56" s="845" t="s">
        <v>464</v>
      </c>
      <c r="I56" s="846" t="s">
        <v>464</v>
      </c>
      <c r="J56" s="841" t="s">
        <v>464</v>
      </c>
      <c r="K56" s="826" t="s">
        <v>606</v>
      </c>
    </row>
    <row r="57" spans="1:11" ht="16.5" customHeight="1">
      <c r="A57" s="2333" t="s">
        <v>607</v>
      </c>
      <c r="B57" s="2342">
        <v>24860</v>
      </c>
      <c r="C57" s="2225">
        <f>(D57*1000)/B57</f>
        <v>240.54706355591313</v>
      </c>
      <c r="D57" s="2226">
        <v>5980</v>
      </c>
      <c r="E57" s="846" t="s">
        <v>464</v>
      </c>
      <c r="F57" s="846" t="s">
        <v>464</v>
      </c>
      <c r="G57" s="841" t="s">
        <v>464</v>
      </c>
      <c r="H57" s="845" t="s">
        <v>464</v>
      </c>
      <c r="I57" s="846" t="s">
        <v>464</v>
      </c>
      <c r="J57" s="841" t="s">
        <v>464</v>
      </c>
      <c r="K57" s="826" t="s">
        <v>607</v>
      </c>
    </row>
    <row r="58" spans="1:11" ht="16.5" customHeight="1">
      <c r="A58" s="2333" t="s">
        <v>608</v>
      </c>
      <c r="B58" s="2342">
        <v>22147</v>
      </c>
      <c r="C58" s="2225">
        <f>(D58*1000)/B58</f>
        <v>128.23407233485347</v>
      </c>
      <c r="D58" s="2226">
        <v>2840</v>
      </c>
      <c r="E58" s="846" t="s">
        <v>464</v>
      </c>
      <c r="F58" s="846" t="s">
        <v>464</v>
      </c>
      <c r="G58" s="841" t="s">
        <v>464</v>
      </c>
      <c r="H58" s="845" t="s">
        <v>464</v>
      </c>
      <c r="I58" s="846" t="s">
        <v>464</v>
      </c>
      <c r="J58" s="841" t="s">
        <v>464</v>
      </c>
      <c r="K58" s="826" t="s">
        <v>608</v>
      </c>
    </row>
    <row r="59" spans="1:11" s="328" customFormat="1" ht="16.5" customHeight="1">
      <c r="A59" s="2335"/>
      <c r="B59" s="2345"/>
      <c r="C59" s="944"/>
      <c r="D59" s="943"/>
      <c r="E59" s="854"/>
      <c r="F59" s="854"/>
      <c r="G59" s="855"/>
      <c r="H59" s="853"/>
      <c r="I59" s="854"/>
      <c r="J59" s="855"/>
      <c r="K59" s="830"/>
    </row>
    <row r="60" spans="1:11" ht="16.5" customHeight="1">
      <c r="A60" s="2335" t="s">
        <v>1286</v>
      </c>
      <c r="B60" s="2343">
        <f>SUM(B61:B62)</f>
        <v>22914</v>
      </c>
      <c r="C60" s="2227">
        <f>(D60*1000)/B60</f>
        <v>183.68682901283057</v>
      </c>
      <c r="D60" s="2228">
        <f>SUM(D61:D62)</f>
        <v>4209</v>
      </c>
      <c r="E60" s="846">
        <f>SUM(E61:E62)</f>
        <v>70</v>
      </c>
      <c r="F60" s="846" t="s">
        <v>464</v>
      </c>
      <c r="G60" s="841" t="s">
        <v>464</v>
      </c>
      <c r="H60" s="845" t="s">
        <v>464</v>
      </c>
      <c r="I60" s="846" t="s">
        <v>464</v>
      </c>
      <c r="J60" s="841" t="s">
        <v>464</v>
      </c>
      <c r="K60" s="829" t="s">
        <v>1286</v>
      </c>
    </row>
    <row r="61" spans="1:11" ht="16.5" customHeight="1">
      <c r="A61" s="1981" t="s">
        <v>586</v>
      </c>
      <c r="B61" s="2344">
        <v>18748</v>
      </c>
      <c r="C61" s="2225">
        <f>(D61*1000)/B61</f>
        <v>182.04608491572435</v>
      </c>
      <c r="D61" s="940">
        <v>3413</v>
      </c>
      <c r="E61" s="382">
        <v>70</v>
      </c>
      <c r="F61" s="846" t="s">
        <v>464</v>
      </c>
      <c r="G61" s="841" t="s">
        <v>464</v>
      </c>
      <c r="H61" s="845" t="s">
        <v>464</v>
      </c>
      <c r="I61" s="846" t="s">
        <v>464</v>
      </c>
      <c r="J61" s="841" t="s">
        <v>464</v>
      </c>
      <c r="K61" s="826" t="s">
        <v>586</v>
      </c>
    </row>
    <row r="62" spans="1:11" ht="16.5" customHeight="1">
      <c r="A62" s="1981" t="s">
        <v>587</v>
      </c>
      <c r="B62" s="2344">
        <v>4166</v>
      </c>
      <c r="C62" s="2225">
        <f>(D62*1000)/B62</f>
        <v>191.07057129140662</v>
      </c>
      <c r="D62" s="940">
        <v>796</v>
      </c>
      <c r="E62" s="846" t="s">
        <v>464</v>
      </c>
      <c r="F62" s="846" t="s">
        <v>464</v>
      </c>
      <c r="G62" s="841" t="s">
        <v>464</v>
      </c>
      <c r="H62" s="845" t="s">
        <v>464</v>
      </c>
      <c r="I62" s="846" t="s">
        <v>464</v>
      </c>
      <c r="J62" s="841" t="s">
        <v>464</v>
      </c>
      <c r="K62" s="826" t="s">
        <v>587</v>
      </c>
    </row>
    <row r="63" spans="1:11" ht="16.5" customHeight="1">
      <c r="A63" s="1981"/>
      <c r="B63" s="2344"/>
      <c r="C63" s="941"/>
      <c r="D63" s="940"/>
      <c r="E63" s="541"/>
      <c r="F63" s="850"/>
      <c r="G63" s="851"/>
      <c r="H63" s="849"/>
      <c r="I63" s="850"/>
      <c r="J63" s="851"/>
      <c r="K63" s="826"/>
    </row>
    <row r="64" spans="1:11" ht="19.5">
      <c r="A64" s="2335" t="s">
        <v>1287</v>
      </c>
      <c r="B64" s="2343">
        <f>SUM(B65:B67)</f>
        <v>96816</v>
      </c>
      <c r="C64" s="2227">
        <f>(D64*1000)/B64</f>
        <v>141.3609320773426</v>
      </c>
      <c r="D64" s="2228">
        <f>SUM(D65:D67)</f>
        <v>13686</v>
      </c>
      <c r="E64" s="693">
        <f>SUM(E65:E67)</f>
        <v>5430</v>
      </c>
      <c r="F64" s="173">
        <f>(G64*1000)/E64</f>
        <v>91.16022099447514</v>
      </c>
      <c r="G64" s="694">
        <f>SUM(G65:G67)</f>
        <v>495</v>
      </c>
      <c r="H64" s="845" t="s">
        <v>464</v>
      </c>
      <c r="I64" s="846" t="s">
        <v>464</v>
      </c>
      <c r="J64" s="841" t="s">
        <v>464</v>
      </c>
      <c r="K64" s="829" t="s">
        <v>1287</v>
      </c>
    </row>
    <row r="65" spans="1:11" ht="18.75">
      <c r="A65" s="1981" t="s">
        <v>1273</v>
      </c>
      <c r="B65" s="2344">
        <v>21825</v>
      </c>
      <c r="C65" s="2225">
        <f>(D65*1000)/B65</f>
        <v>51.91294387170676</v>
      </c>
      <c r="D65" s="940">
        <v>1133</v>
      </c>
      <c r="E65" s="382">
        <v>470</v>
      </c>
      <c r="F65" s="846" t="s">
        <v>464</v>
      </c>
      <c r="G65" s="841" t="s">
        <v>464</v>
      </c>
      <c r="H65" s="845" t="s">
        <v>464</v>
      </c>
      <c r="I65" s="846" t="s">
        <v>464</v>
      </c>
      <c r="J65" s="841" t="s">
        <v>464</v>
      </c>
      <c r="K65" s="826" t="s">
        <v>1273</v>
      </c>
    </row>
    <row r="66" spans="1:11" ht="18.75">
      <c r="A66" s="1981" t="s">
        <v>596</v>
      </c>
      <c r="B66" s="2344">
        <v>37969</v>
      </c>
      <c r="C66" s="2225">
        <f>(D66*1000)/B66</f>
        <v>168.97995733361427</v>
      </c>
      <c r="D66" s="940">
        <v>6416</v>
      </c>
      <c r="E66" s="846" t="s">
        <v>464</v>
      </c>
      <c r="F66" s="846" t="s">
        <v>464</v>
      </c>
      <c r="G66" s="841" t="s">
        <v>464</v>
      </c>
      <c r="H66" s="845" t="s">
        <v>464</v>
      </c>
      <c r="I66" s="846" t="s">
        <v>464</v>
      </c>
      <c r="J66" s="841" t="s">
        <v>464</v>
      </c>
      <c r="K66" s="826" t="s">
        <v>596</v>
      </c>
    </row>
    <row r="67" spans="1:11" ht="19.5" thickBot="1">
      <c r="A67" s="831" t="s">
        <v>595</v>
      </c>
      <c r="B67" s="2346">
        <v>37022</v>
      </c>
      <c r="C67" s="832">
        <f>(D67*1000)/B67</f>
        <v>165.766301118254</v>
      </c>
      <c r="D67" s="572">
        <v>6137</v>
      </c>
      <c r="E67" s="2337">
        <v>4960</v>
      </c>
      <c r="F67" s="195">
        <f>(G67*1000)/E67</f>
        <v>99.79838709677419</v>
      </c>
      <c r="G67" s="572">
        <v>495</v>
      </c>
      <c r="H67" s="857" t="s">
        <v>464</v>
      </c>
      <c r="I67" s="858" t="s">
        <v>464</v>
      </c>
      <c r="J67" s="859" t="s">
        <v>464</v>
      </c>
      <c r="K67" s="834" t="s">
        <v>595</v>
      </c>
    </row>
  </sheetData>
  <sheetProtection/>
  <mergeCells count="4">
    <mergeCell ref="B37:D37"/>
    <mergeCell ref="H4:J4"/>
    <mergeCell ref="E4:G4"/>
    <mergeCell ref="B4:D4"/>
  </mergeCells>
  <printOptions/>
  <pageMargins left="0.71" right="0.984251968503937" top="0.984251968503937" bottom="0.984251968503937" header="0.5118110236220472" footer="0.5118110236220472"/>
  <pageSetup horizontalDpi="300" verticalDpi="300" orientation="portrait" paperSize="9" scale="6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V109"/>
  <sheetViews>
    <sheetView zoomScale="60" zoomScaleNormal="60" zoomScalePageLayoutView="0" workbookViewId="0" topLeftCell="A1">
      <pane ySplit="4" topLeftCell="A14" activePane="bottomLeft" state="frozen"/>
      <selection pane="topLeft" activeCell="A1" sqref="A1"/>
      <selection pane="bottomLeft" activeCell="C9" sqref="C9"/>
    </sheetView>
  </sheetViews>
  <sheetFormatPr defaultColWidth="9.7109375" defaultRowHeight="12.75"/>
  <cols>
    <col min="1" max="1" width="56.00390625" style="1351" customWidth="1"/>
    <col min="2" max="2" width="34.140625" style="1351" customWidth="1"/>
    <col min="3" max="3" width="37.421875" style="1351" customWidth="1"/>
    <col min="4" max="4" width="28.00390625" style="1351" customWidth="1"/>
    <col min="5" max="5" width="28.28125" style="1350" customWidth="1"/>
    <col min="6" max="6" width="25.421875" style="10" customWidth="1"/>
    <col min="7" max="22" width="6.7109375" style="10" customWidth="1"/>
    <col min="23" max="16384" width="9.7109375" style="10" customWidth="1"/>
  </cols>
  <sheetData>
    <row r="1" ht="23.25">
      <c r="A1" s="1526" t="s">
        <v>1625</v>
      </c>
    </row>
    <row r="2" ht="24" thickBot="1">
      <c r="E2" s="1527" t="s">
        <v>936</v>
      </c>
    </row>
    <row r="3" spans="1:256" ht="22.5">
      <c r="A3" s="1528" t="s">
        <v>1057</v>
      </c>
      <c r="B3" s="1529" t="s">
        <v>585</v>
      </c>
      <c r="C3" s="1529" t="s">
        <v>1058</v>
      </c>
      <c r="D3" s="1529" t="s">
        <v>686</v>
      </c>
      <c r="E3" s="1530" t="s">
        <v>472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</row>
    <row r="4" spans="1:256" ht="24" thickBot="1">
      <c r="A4" s="1531" t="s">
        <v>1061</v>
      </c>
      <c r="B4" s="1532" t="s">
        <v>1125</v>
      </c>
      <c r="C4" s="1532" t="s">
        <v>1126</v>
      </c>
      <c r="D4" s="1532" t="s">
        <v>1127</v>
      </c>
      <c r="E4" s="1533" t="s">
        <v>480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</row>
    <row r="5" spans="1:5" ht="24" thickTop="1">
      <c r="A5" s="1534" t="s">
        <v>1179</v>
      </c>
      <c r="B5" s="1535"/>
      <c r="C5" s="1535"/>
      <c r="D5" s="1535"/>
      <c r="E5" s="1536"/>
    </row>
    <row r="6" spans="1:5" ht="23.25">
      <c r="A6" s="1537" t="s">
        <v>1180</v>
      </c>
      <c r="B6" s="1253"/>
      <c r="C6" s="1253"/>
      <c r="D6" s="1253"/>
      <c r="E6" s="1538"/>
    </row>
    <row r="7" spans="1:5" ht="23.25">
      <c r="A7" s="1539" t="s">
        <v>1181</v>
      </c>
      <c r="B7" s="1540">
        <v>850</v>
      </c>
      <c r="C7" s="1541">
        <v>24602</v>
      </c>
      <c r="D7" s="1541">
        <v>101619</v>
      </c>
      <c r="E7" s="1542">
        <f>SUM(B7:D7)</f>
        <v>127071</v>
      </c>
    </row>
    <row r="8" spans="1:5" ht="23.25">
      <c r="A8" s="1537" t="s">
        <v>1547</v>
      </c>
      <c r="B8" s="1554"/>
      <c r="C8" s="1253"/>
      <c r="D8" s="1253"/>
      <c r="E8" s="1538"/>
    </row>
    <row r="9" spans="1:5" ht="23.25">
      <c r="A9" s="1923" t="s">
        <v>1548</v>
      </c>
      <c r="B9" s="1554">
        <v>55</v>
      </c>
      <c r="C9" s="1554" t="s">
        <v>464</v>
      </c>
      <c r="D9" s="1554" t="s">
        <v>464</v>
      </c>
      <c r="E9" s="1538">
        <f>SUM(B9:D9)</f>
        <v>55</v>
      </c>
    </row>
    <row r="10" spans="1:6" ht="23.25">
      <c r="A10" s="1567" t="s">
        <v>1262</v>
      </c>
      <c r="B10" s="1563"/>
      <c r="C10" s="1563"/>
      <c r="D10" s="1563"/>
      <c r="E10" s="1565"/>
      <c r="F10" s="10" t="s">
        <v>1206</v>
      </c>
    </row>
    <row r="11" spans="1:5" ht="23.25">
      <c r="A11" s="1544" t="s">
        <v>1182</v>
      </c>
      <c r="B11" s="1540">
        <v>3069</v>
      </c>
      <c r="C11" s="1540">
        <v>1000</v>
      </c>
      <c r="D11" s="1541">
        <v>75716</v>
      </c>
      <c r="E11" s="1542">
        <f>SUM(B11:D11)</f>
        <v>79785</v>
      </c>
    </row>
    <row r="12" spans="1:5" ht="23.25">
      <c r="A12" s="1543" t="s">
        <v>1545</v>
      </c>
      <c r="B12" s="1253"/>
      <c r="C12" s="1253"/>
      <c r="D12" s="1253"/>
      <c r="E12" s="1538"/>
    </row>
    <row r="13" spans="1:5" ht="23.25">
      <c r="A13" s="1544" t="s">
        <v>1546</v>
      </c>
      <c r="B13" s="1541">
        <v>11327</v>
      </c>
      <c r="C13" s="1541">
        <v>69045</v>
      </c>
      <c r="D13" s="1540">
        <v>29249</v>
      </c>
      <c r="E13" s="1542">
        <f>SUM(B13:D13)</f>
        <v>109621</v>
      </c>
    </row>
    <row r="14" spans="1:5" ht="23.25">
      <c r="A14" s="1545" t="s">
        <v>453</v>
      </c>
      <c r="B14" s="1546"/>
      <c r="C14" s="1546"/>
      <c r="D14" s="1547"/>
      <c r="E14" s="1548"/>
    </row>
    <row r="15" spans="1:5" ht="23.25">
      <c r="A15" s="1549" t="s">
        <v>600</v>
      </c>
      <c r="B15" s="1550" t="s">
        <v>464</v>
      </c>
      <c r="C15" s="1551">
        <v>58145</v>
      </c>
      <c r="D15" s="1550" t="s">
        <v>464</v>
      </c>
      <c r="E15" s="1552">
        <f>SUM(B15:D15)</f>
        <v>58145</v>
      </c>
    </row>
    <row r="16" spans="1:5" ht="23.25">
      <c r="A16" s="1543" t="s">
        <v>1184</v>
      </c>
      <c r="B16" s="1253"/>
      <c r="C16" s="1253"/>
      <c r="D16" s="1253"/>
      <c r="E16" s="1538"/>
    </row>
    <row r="17" spans="1:5" ht="23.25">
      <c r="A17" s="1544" t="s">
        <v>1185</v>
      </c>
      <c r="B17" s="1540">
        <v>2778</v>
      </c>
      <c r="C17" s="1541">
        <v>60390</v>
      </c>
      <c r="D17" s="1541">
        <v>374729</v>
      </c>
      <c r="E17" s="1542">
        <f>SUM(B17:D17)</f>
        <v>437897</v>
      </c>
    </row>
    <row r="18" spans="1:5" ht="23.25">
      <c r="A18" s="1543" t="s">
        <v>1186</v>
      </c>
      <c r="B18" s="1253"/>
      <c r="C18" s="1253"/>
      <c r="D18" s="1253"/>
      <c r="E18" s="1538"/>
    </row>
    <row r="19" spans="1:256" ht="24" thickBot="1">
      <c r="A19" s="1553" t="s">
        <v>1187</v>
      </c>
      <c r="B19" s="1554"/>
      <c r="C19" s="1554">
        <v>17560</v>
      </c>
      <c r="D19" s="1253">
        <v>399964</v>
      </c>
      <c r="E19" s="1538">
        <f>SUM(B19:D19)</f>
        <v>417524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</row>
    <row r="20" spans="1:5" ht="22.5">
      <c r="A20" s="1555" t="s">
        <v>473</v>
      </c>
      <c r="B20" s="1359">
        <f>SUM(B6:B19)</f>
        <v>18079</v>
      </c>
      <c r="C20" s="1359">
        <f>SUM(C6:C19)</f>
        <v>230742</v>
      </c>
      <c r="D20" s="1359">
        <f>SUM(D6:D19)</f>
        <v>981277</v>
      </c>
      <c r="E20" s="1556">
        <f>SUM(E6:E19)</f>
        <v>1230098</v>
      </c>
    </row>
    <row r="21" spans="1:5" ht="24" thickBot="1">
      <c r="A21" s="1557"/>
      <c r="B21" s="1558"/>
      <c r="C21" s="1558"/>
      <c r="D21" s="1558"/>
      <c r="E21" s="1559"/>
    </row>
    <row r="22" spans="1:5" ht="23.25">
      <c r="A22" s="1560" t="s">
        <v>1108</v>
      </c>
      <c r="B22" s="1253"/>
      <c r="C22" s="1253"/>
      <c r="D22" s="1253"/>
      <c r="E22" s="1538"/>
    </row>
    <row r="23" spans="1:5" ht="23.25" hidden="1">
      <c r="A23" s="1543"/>
      <c r="B23" s="1253"/>
      <c r="C23" s="1253"/>
      <c r="D23" s="1253"/>
      <c r="E23" s="1538"/>
    </row>
    <row r="24" spans="1:5" ht="23.25" hidden="1">
      <c r="A24" s="1544"/>
      <c r="B24" s="1541"/>
      <c r="C24" s="1541"/>
      <c r="D24" s="1541"/>
      <c r="E24" s="1561"/>
    </row>
    <row r="25" spans="1:5" ht="23.25">
      <c r="A25" s="1543" t="s">
        <v>1188</v>
      </c>
      <c r="B25" s="1253"/>
      <c r="C25" s="1253"/>
      <c r="D25" s="1253"/>
      <c r="E25" s="1538"/>
    </row>
    <row r="26" spans="1:5" ht="23.25">
      <c r="A26" s="1544" t="s">
        <v>1189</v>
      </c>
      <c r="B26" s="1541">
        <v>14527</v>
      </c>
      <c r="C26" s="1541">
        <v>34179</v>
      </c>
      <c r="D26" s="1541">
        <v>4024</v>
      </c>
      <c r="E26" s="1542">
        <f>SUM(B26:D26)</f>
        <v>52730</v>
      </c>
    </row>
    <row r="27" spans="1:5" ht="23.25">
      <c r="A27" s="1543" t="s">
        <v>193</v>
      </c>
      <c r="B27" s="1253"/>
      <c r="C27" s="1253"/>
      <c r="D27" s="1253"/>
      <c r="E27" s="1538"/>
    </row>
    <row r="28" spans="1:5" ht="23.25">
      <c r="A28" s="1544" t="s">
        <v>194</v>
      </c>
      <c r="B28" s="1541">
        <v>4280</v>
      </c>
      <c r="C28" s="1540">
        <v>28672</v>
      </c>
      <c r="D28" s="1541">
        <v>114058</v>
      </c>
      <c r="E28" s="1542">
        <f>SUM(B28:D28)</f>
        <v>147010</v>
      </c>
    </row>
    <row r="29" spans="1:5" ht="23.25">
      <c r="A29" s="1543" t="s">
        <v>1109</v>
      </c>
      <c r="B29" s="1253"/>
      <c r="C29" s="1253"/>
      <c r="D29" s="1253"/>
      <c r="E29" s="1538"/>
    </row>
    <row r="30" spans="1:5" ht="23.25">
      <c r="A30" s="1544" t="s">
        <v>1190</v>
      </c>
      <c r="B30" s="1540" t="s">
        <v>464</v>
      </c>
      <c r="C30" s="1540" t="s">
        <v>464</v>
      </c>
      <c r="D30" s="1541">
        <v>5604</v>
      </c>
      <c r="E30" s="1542">
        <f>SUM(B30:D30)</f>
        <v>5604</v>
      </c>
    </row>
    <row r="31" spans="1:5" ht="23.25">
      <c r="A31" s="1543" t="s">
        <v>1191</v>
      </c>
      <c r="B31" s="1253"/>
      <c r="C31" s="1253"/>
      <c r="D31" s="1253"/>
      <c r="E31" s="1538"/>
    </row>
    <row r="32" spans="1:5" ht="23.25">
      <c r="A32" s="1544" t="s">
        <v>1192</v>
      </c>
      <c r="B32" s="1540" t="s">
        <v>464</v>
      </c>
      <c r="C32" s="1541">
        <v>2814323</v>
      </c>
      <c r="D32" s="1541">
        <v>1275660</v>
      </c>
      <c r="E32" s="1542">
        <f>SUM(B32:D32)</f>
        <v>4089983</v>
      </c>
    </row>
    <row r="33" spans="1:5" ht="23.25">
      <c r="A33" s="1543" t="s">
        <v>1193</v>
      </c>
      <c r="B33" s="1253"/>
      <c r="C33" s="1253"/>
      <c r="D33" s="1253"/>
      <c r="E33" s="1538"/>
    </row>
    <row r="34" spans="1:5" ht="23.25">
      <c r="A34" s="1544" t="s">
        <v>1194</v>
      </c>
      <c r="B34" s="1540" t="s">
        <v>464</v>
      </c>
      <c r="C34" s="1541">
        <v>135773</v>
      </c>
      <c r="D34" s="1541">
        <v>45334</v>
      </c>
      <c r="E34" s="1542">
        <f>SUM(B34:D34)</f>
        <v>181107</v>
      </c>
    </row>
    <row r="35" spans="1:5" ht="23.25">
      <c r="A35" s="1567" t="s">
        <v>1659</v>
      </c>
      <c r="B35" s="1563"/>
      <c r="C35" s="1563"/>
      <c r="D35" s="1563"/>
      <c r="E35" s="1565"/>
    </row>
    <row r="36" spans="1:5" ht="23.25">
      <c r="A36" s="1544" t="s">
        <v>1660</v>
      </c>
      <c r="B36" s="1540" t="s">
        <v>464</v>
      </c>
      <c r="C36" s="1540" t="s">
        <v>464</v>
      </c>
      <c r="D36" s="1541">
        <v>73780</v>
      </c>
      <c r="E36" s="1542">
        <f>SUM(B36:D36)</f>
        <v>73780</v>
      </c>
    </row>
    <row r="37" spans="1:5" ht="23.25">
      <c r="A37" s="1567" t="s">
        <v>1658</v>
      </c>
      <c r="B37" s="1563"/>
      <c r="C37" s="1563"/>
      <c r="D37" s="1563"/>
      <c r="E37" s="1565"/>
    </row>
    <row r="38" spans="1:5" ht="23.25">
      <c r="A38" s="1544" t="s">
        <v>188</v>
      </c>
      <c r="B38" s="1541">
        <v>222333</v>
      </c>
      <c r="C38" s="1540" t="s">
        <v>464</v>
      </c>
      <c r="D38" s="1541">
        <v>72795</v>
      </c>
      <c r="E38" s="1542">
        <f>SUM(B38:D38)</f>
        <v>295128</v>
      </c>
    </row>
    <row r="39" spans="1:5" ht="23.25">
      <c r="A39" s="1543" t="s">
        <v>1661</v>
      </c>
      <c r="B39" s="1253"/>
      <c r="C39" s="1253"/>
      <c r="D39" s="1253"/>
      <c r="E39" s="1538"/>
    </row>
    <row r="40" spans="1:5" ht="23.25">
      <c r="A40" s="1553" t="s">
        <v>1119</v>
      </c>
      <c r="B40" s="1540" t="s">
        <v>464</v>
      </c>
      <c r="C40" s="1253">
        <v>31555</v>
      </c>
      <c r="D40" s="1540" t="s">
        <v>464</v>
      </c>
      <c r="E40" s="1538">
        <f>SUM(B40:D40)</f>
        <v>31555</v>
      </c>
    </row>
    <row r="41" spans="1:5" ht="23.25">
      <c r="A41" s="1562" t="s">
        <v>638</v>
      </c>
      <c r="B41" s="1563"/>
      <c r="C41" s="1563"/>
      <c r="D41" s="1564"/>
      <c r="E41" s="1565"/>
    </row>
    <row r="42" spans="1:5" ht="23.25">
      <c r="A42" s="1544" t="s">
        <v>639</v>
      </c>
      <c r="B42" s="1540">
        <v>8800</v>
      </c>
      <c r="C42" s="1541">
        <v>31750</v>
      </c>
      <c r="D42" s="1540">
        <f>40513+38026+49629+52775</f>
        <v>180943</v>
      </c>
      <c r="E42" s="1542">
        <f>SUM(B42:D42)</f>
        <v>221493</v>
      </c>
    </row>
    <row r="43" spans="1:5" ht="23.25">
      <c r="A43" s="1543" t="s">
        <v>1195</v>
      </c>
      <c r="B43" s="1253"/>
      <c r="C43" s="1253"/>
      <c r="D43" s="1253"/>
      <c r="E43" s="1538"/>
    </row>
    <row r="44" spans="1:5" ht="23.25">
      <c r="A44" s="1544" t="s">
        <v>1196</v>
      </c>
      <c r="B44" s="1541">
        <v>20832</v>
      </c>
      <c r="C44" s="1541">
        <v>49975</v>
      </c>
      <c r="D44" s="1540">
        <v>6540</v>
      </c>
      <c r="E44" s="1542">
        <f>SUM(B44:D44)</f>
        <v>77347</v>
      </c>
    </row>
    <row r="45" spans="1:256" ht="23.25">
      <c r="A45" s="1543" t="s">
        <v>1197</v>
      </c>
      <c r="B45" s="1253"/>
      <c r="C45" s="1253"/>
      <c r="D45" s="1253"/>
      <c r="E45" s="153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</row>
    <row r="46" spans="1:256" ht="23.25">
      <c r="A46" s="1544" t="s">
        <v>1198</v>
      </c>
      <c r="B46" s="1540">
        <v>1300</v>
      </c>
      <c r="C46" s="1541">
        <v>27390</v>
      </c>
      <c r="D46" s="1541">
        <v>203197</v>
      </c>
      <c r="E46" s="1542">
        <f>SUM(B46:D46)</f>
        <v>231887</v>
      </c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  <c r="IT46" s="82"/>
      <c r="IU46" s="82"/>
      <c r="IV46" s="82"/>
    </row>
    <row r="47" spans="1:256" ht="23.25">
      <c r="A47" s="1543" t="s">
        <v>1551</v>
      </c>
      <c r="B47" s="1554"/>
      <c r="C47" s="1253"/>
      <c r="D47" s="1253"/>
      <c r="E47" s="1538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</row>
    <row r="48" spans="1:256" ht="23.25">
      <c r="A48" s="1576" t="s">
        <v>1550</v>
      </c>
      <c r="B48" s="1554" t="s">
        <v>464</v>
      </c>
      <c r="C48" s="1253">
        <v>9277</v>
      </c>
      <c r="D48" s="1253">
        <v>97895</v>
      </c>
      <c r="E48" s="1538">
        <f>SUM(C48:D48)</f>
        <v>107172</v>
      </c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</row>
    <row r="49" spans="1:256" ht="23.25">
      <c r="A49" s="1545" t="s">
        <v>195</v>
      </c>
      <c r="B49" s="1564"/>
      <c r="C49" s="1563"/>
      <c r="D49" s="1563"/>
      <c r="E49" s="1565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</row>
    <row r="50" spans="1:256" ht="23.25">
      <c r="A50" s="1549" t="s">
        <v>196</v>
      </c>
      <c r="B50" s="1540" t="s">
        <v>464</v>
      </c>
      <c r="C50" s="1541">
        <v>3566</v>
      </c>
      <c r="D50" s="1541">
        <v>2230</v>
      </c>
      <c r="E50" s="1542">
        <f>SUM(B50:D50)</f>
        <v>5796</v>
      </c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</row>
    <row r="51" spans="1:256" ht="23.25">
      <c r="A51" s="2513" t="s">
        <v>197</v>
      </c>
      <c r="B51" s="1554"/>
      <c r="C51" s="1253"/>
      <c r="D51" s="1253"/>
      <c r="E51" s="1538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</row>
    <row r="52" spans="1:256" ht="23.25">
      <c r="A52" s="1576" t="s">
        <v>198</v>
      </c>
      <c r="B52" s="1554" t="s">
        <v>464</v>
      </c>
      <c r="C52" s="1554" t="s">
        <v>464</v>
      </c>
      <c r="D52" s="1253">
        <v>51324</v>
      </c>
      <c r="E52" s="1538">
        <f>SUM(B52:D52)</f>
        <v>51324</v>
      </c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</row>
    <row r="53" spans="1:5" ht="23.25">
      <c r="A53" s="1567" t="s">
        <v>454</v>
      </c>
      <c r="B53" s="1564"/>
      <c r="C53" s="1573"/>
      <c r="D53" s="1573"/>
      <c r="E53" s="1565"/>
    </row>
    <row r="54" spans="1:5" ht="24" thickBot="1">
      <c r="A54" s="1544" t="s">
        <v>454</v>
      </c>
      <c r="B54" s="1540" t="s">
        <v>464</v>
      </c>
      <c r="C54" s="1540">
        <v>3368</v>
      </c>
      <c r="D54" s="1541">
        <v>20442</v>
      </c>
      <c r="E54" s="1542">
        <f>SUM(B54:D54)</f>
        <v>23810</v>
      </c>
    </row>
    <row r="55" spans="1:5" ht="24" hidden="1" thickBot="1">
      <c r="A55" s="1567"/>
      <c r="B55" s="1564"/>
      <c r="C55" s="1563"/>
      <c r="D55" s="1563"/>
      <c r="E55" s="1565"/>
    </row>
    <row r="56" spans="1:5" ht="24" hidden="1" thickBot="1">
      <c r="A56" s="1553"/>
      <c r="B56" s="1554"/>
      <c r="C56" s="1541"/>
      <c r="D56" s="1541"/>
      <c r="E56" s="1538"/>
    </row>
    <row r="57" spans="1:5" ht="24.75" customHeight="1">
      <c r="A57" s="1555" t="s">
        <v>473</v>
      </c>
      <c r="B57" s="1359">
        <f>SUM(B26:B56)</f>
        <v>272072</v>
      </c>
      <c r="C57" s="1359">
        <f>SUM(C26:C56)</f>
        <v>3169828</v>
      </c>
      <c r="D57" s="1359">
        <f>SUM(D26:D56)</f>
        <v>2153826</v>
      </c>
      <c r="E57" s="1556">
        <f>SUM(E26:E56)</f>
        <v>5595726</v>
      </c>
    </row>
    <row r="58" spans="1:5" ht="24" thickBot="1">
      <c r="A58" s="1557"/>
      <c r="B58" s="1558"/>
      <c r="C58" s="1558"/>
      <c r="D58" s="1558"/>
      <c r="E58" s="1559"/>
    </row>
    <row r="59" spans="1:5" ht="23.25">
      <c r="A59" s="1555" t="s">
        <v>1199</v>
      </c>
      <c r="B59" s="2383"/>
      <c r="C59" s="2383"/>
      <c r="D59" s="2383"/>
      <c r="E59" s="2384"/>
    </row>
    <row r="60" spans="1:5" ht="23.25" hidden="1">
      <c r="A60" s="1537"/>
      <c r="B60" s="1566"/>
      <c r="C60" s="1566"/>
      <c r="D60" s="1566"/>
      <c r="E60" s="1568"/>
    </row>
    <row r="61" spans="1:5" ht="23.25">
      <c r="A61" s="1569" t="s">
        <v>1451</v>
      </c>
      <c r="B61" s="1541">
        <v>2408</v>
      </c>
      <c r="C61" s="1570">
        <v>40030</v>
      </c>
      <c r="D61" s="1540" t="s">
        <v>464</v>
      </c>
      <c r="E61" s="1571">
        <f>SUM(B61:D61)</f>
        <v>42438</v>
      </c>
    </row>
    <row r="62" spans="1:5" ht="23.25">
      <c r="A62" s="1575" t="s">
        <v>1452</v>
      </c>
      <c r="B62" s="1541">
        <v>143344</v>
      </c>
      <c r="C62" s="1541">
        <v>48089</v>
      </c>
      <c r="D62" s="1541">
        <v>29508</v>
      </c>
      <c r="E62" s="1542">
        <f>SUM(B62:D62)</f>
        <v>220941</v>
      </c>
    </row>
    <row r="63" spans="1:5" ht="23.25">
      <c r="A63" s="1575" t="s">
        <v>1453</v>
      </c>
      <c r="B63" s="1541">
        <v>78078</v>
      </c>
      <c r="C63" s="1570">
        <v>144081</v>
      </c>
      <c r="D63" s="1540" t="s">
        <v>464</v>
      </c>
      <c r="E63" s="1571">
        <f>SUM(B63:D63)</f>
        <v>222159</v>
      </c>
    </row>
    <row r="64" spans="1:5" ht="23.25">
      <c r="A64" s="1537" t="s">
        <v>1200</v>
      </c>
      <c r="B64" s="1566"/>
      <c r="C64" s="1566"/>
      <c r="D64" s="1566"/>
      <c r="E64" s="1568"/>
    </row>
    <row r="65" spans="1:5" ht="23.25">
      <c r="A65" s="1544" t="s">
        <v>1201</v>
      </c>
      <c r="B65" s="1541">
        <v>22941</v>
      </c>
      <c r="C65" s="1570">
        <v>243702</v>
      </c>
      <c r="D65" s="1540" t="s">
        <v>464</v>
      </c>
      <c r="E65" s="1571">
        <f>SUM(B65:D65)</f>
        <v>266643</v>
      </c>
    </row>
    <row r="66" spans="1:5" ht="23.25" hidden="1">
      <c r="A66" s="1543"/>
      <c r="B66" s="1566"/>
      <c r="C66" s="1566"/>
      <c r="D66" s="1566"/>
      <c r="E66" s="1568"/>
    </row>
    <row r="67" spans="1:5" ht="23.25" hidden="1">
      <c r="A67" s="1543"/>
      <c r="B67" s="1566"/>
      <c r="C67" s="1566"/>
      <c r="D67" s="1566"/>
      <c r="E67" s="1568"/>
    </row>
    <row r="68" spans="1:5" ht="23.25" hidden="1">
      <c r="A68" s="1543"/>
      <c r="B68" s="1566"/>
      <c r="C68" s="1566"/>
      <c r="D68" s="1566"/>
      <c r="E68" s="1568"/>
    </row>
    <row r="69" spans="1:5" ht="23.25" hidden="1">
      <c r="A69" s="1543"/>
      <c r="B69" s="1566"/>
      <c r="C69" s="1566"/>
      <c r="D69" s="1566"/>
      <c r="E69" s="1568"/>
    </row>
    <row r="70" spans="1:5" ht="23.25" hidden="1">
      <c r="A70" s="1543"/>
      <c r="B70" s="1566"/>
      <c r="C70" s="1566"/>
      <c r="D70" s="1566"/>
      <c r="E70" s="1568"/>
    </row>
    <row r="71" spans="1:5" ht="23.25" hidden="1">
      <c r="A71" s="1543"/>
      <c r="B71" s="1566"/>
      <c r="C71" s="1566"/>
      <c r="D71" s="1566"/>
      <c r="E71" s="1568"/>
    </row>
    <row r="72" spans="1:5" ht="23.25">
      <c r="A72" s="1572" t="s">
        <v>455</v>
      </c>
      <c r="B72" s="1563"/>
      <c r="C72" s="1573"/>
      <c r="D72" s="1563"/>
      <c r="E72" s="1574"/>
    </row>
    <row r="73" spans="1:5" ht="23.25">
      <c r="A73" s="1544" t="s">
        <v>456</v>
      </c>
      <c r="B73" s="1540" t="s">
        <v>464</v>
      </c>
      <c r="C73" s="1570">
        <v>25212518</v>
      </c>
      <c r="D73" s="1540" t="s">
        <v>464</v>
      </c>
      <c r="E73" s="1571">
        <f>SUM(B73:D73)</f>
        <v>25212518</v>
      </c>
    </row>
    <row r="74" spans="1:5" ht="23.25">
      <c r="A74" s="1543" t="s">
        <v>1202</v>
      </c>
      <c r="B74" s="1566"/>
      <c r="C74" s="1566"/>
      <c r="D74" s="1566"/>
      <c r="E74" s="1568"/>
    </row>
    <row r="75" spans="1:5" ht="23.25">
      <c r="A75" s="1544" t="s">
        <v>1203</v>
      </c>
      <c r="B75" s="1540"/>
      <c r="C75" s="1541">
        <v>22936160</v>
      </c>
      <c r="D75" s="1540" t="s">
        <v>464</v>
      </c>
      <c r="E75" s="1571">
        <f>SUM(B75:D75)</f>
        <v>22936160</v>
      </c>
    </row>
    <row r="76" spans="1:5" ht="23.25">
      <c r="A76" s="1543" t="s">
        <v>457</v>
      </c>
      <c r="B76" s="1566"/>
      <c r="C76" s="1566"/>
      <c r="D76" s="1566"/>
      <c r="E76" s="1568"/>
    </row>
    <row r="77" spans="1:5" ht="23.25">
      <c r="A77" s="1544" t="s">
        <v>1204</v>
      </c>
      <c r="B77" s="1540">
        <v>98500</v>
      </c>
      <c r="C77" s="1570">
        <v>1589500</v>
      </c>
      <c r="D77" s="1540">
        <v>580400</v>
      </c>
      <c r="E77" s="1571">
        <f>SUM(B77:D77)</f>
        <v>2268400</v>
      </c>
    </row>
    <row r="78" spans="1:5" ht="23.25">
      <c r="A78" s="1567" t="s">
        <v>458</v>
      </c>
      <c r="B78" s="1564"/>
      <c r="C78" s="1573"/>
      <c r="D78" s="1577"/>
      <c r="E78" s="1574"/>
    </row>
    <row r="79" spans="1:5" ht="23.25">
      <c r="A79" s="1544" t="s">
        <v>459</v>
      </c>
      <c r="B79" s="1540" t="s">
        <v>464</v>
      </c>
      <c r="C79" s="1541">
        <v>520000</v>
      </c>
      <c r="D79" s="1540" t="s">
        <v>464</v>
      </c>
      <c r="E79" s="1571">
        <f>SUM(B79:D79)</f>
        <v>520000</v>
      </c>
    </row>
    <row r="80" spans="1:5" ht="23.25" hidden="1">
      <c r="A80" s="1543"/>
      <c r="B80" s="1253"/>
      <c r="C80" s="1253"/>
      <c r="D80" s="1566"/>
      <c r="E80" s="1571">
        <f>SUM(B80:D80)</f>
        <v>0</v>
      </c>
    </row>
    <row r="81" spans="1:5" ht="21.75" customHeight="1">
      <c r="A81" s="2513" t="s">
        <v>1662</v>
      </c>
      <c r="B81" s="1253"/>
      <c r="C81" s="1253"/>
      <c r="D81" s="1566"/>
      <c r="E81" s="1568"/>
    </row>
    <row r="82" spans="1:5" ht="23.25" hidden="1">
      <c r="A82" s="2513"/>
      <c r="B82" s="1253"/>
      <c r="C82" s="1253"/>
      <c r="D82" s="1566"/>
      <c r="E82" s="1568"/>
    </row>
    <row r="83" spans="1:5" ht="23.25">
      <c r="A83" s="1549" t="s">
        <v>186</v>
      </c>
      <c r="B83" s="1540" t="s">
        <v>464</v>
      </c>
      <c r="C83" s="1541">
        <v>1401936</v>
      </c>
      <c r="D83" s="1570"/>
      <c r="E83" s="1571">
        <f>SUM(B83:D83)</f>
        <v>1401936</v>
      </c>
    </row>
    <row r="84" spans="1:5" ht="23.25">
      <c r="A84" s="1545" t="s">
        <v>1663</v>
      </c>
      <c r="B84" s="1563"/>
      <c r="C84" s="1563"/>
      <c r="D84" s="1573"/>
      <c r="E84" s="1574"/>
    </row>
    <row r="85" spans="1:5" ht="23.25" hidden="1">
      <c r="A85" s="2513"/>
      <c r="B85" s="1253"/>
      <c r="C85" s="1253"/>
      <c r="D85" s="1566"/>
      <c r="E85" s="1568"/>
    </row>
    <row r="86" spans="1:5" ht="23.25" hidden="1">
      <c r="A86" s="2513"/>
      <c r="B86" s="1253"/>
      <c r="C86" s="1253"/>
      <c r="D86" s="1566"/>
      <c r="E86" s="1568"/>
    </row>
    <row r="87" spans="1:5" ht="24" thickBot="1">
      <c r="A87" s="2514" t="s">
        <v>187</v>
      </c>
      <c r="B87" s="1580" t="s">
        <v>464</v>
      </c>
      <c r="C87" s="1580" t="s">
        <v>464</v>
      </c>
      <c r="D87" s="2515">
        <v>366400</v>
      </c>
      <c r="E87" s="2516">
        <f>SUM(B87:D87)</f>
        <v>366400</v>
      </c>
    </row>
    <row r="90" spans="6:256" ht="23.25"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  <c r="GT90" s="82"/>
      <c r="GU90" s="82"/>
      <c r="GV90" s="82"/>
      <c r="GW90" s="82"/>
      <c r="GX90" s="82"/>
      <c r="GY90" s="82"/>
      <c r="GZ90" s="82"/>
      <c r="HA90" s="82"/>
      <c r="HB90" s="82"/>
      <c r="HC90" s="82"/>
      <c r="HD90" s="82"/>
      <c r="HE90" s="82"/>
      <c r="HF90" s="82"/>
      <c r="HG90" s="82"/>
      <c r="HH90" s="82"/>
      <c r="HI90" s="82"/>
      <c r="HJ90" s="82"/>
      <c r="HK90" s="82"/>
      <c r="HL90" s="82"/>
      <c r="HM90" s="82"/>
      <c r="HN90" s="82"/>
      <c r="HO90" s="82"/>
      <c r="HP90" s="82"/>
      <c r="HQ90" s="82"/>
      <c r="HR90" s="82"/>
      <c r="HS90" s="82"/>
      <c r="HT90" s="82"/>
      <c r="HU90" s="82"/>
      <c r="HV90" s="82"/>
      <c r="HW90" s="82"/>
      <c r="HX90" s="82"/>
      <c r="HY90" s="82"/>
      <c r="HZ90" s="82"/>
      <c r="IA90" s="82"/>
      <c r="IB90" s="82"/>
      <c r="IC90" s="82"/>
      <c r="ID90" s="82"/>
      <c r="IE90" s="82"/>
      <c r="IF90" s="82"/>
      <c r="IG90" s="82"/>
      <c r="IH90" s="82"/>
      <c r="II90" s="82"/>
      <c r="IJ90" s="82"/>
      <c r="IK90" s="82"/>
      <c r="IL90" s="82"/>
      <c r="IM90" s="82"/>
      <c r="IN90" s="82"/>
      <c r="IO90" s="82"/>
      <c r="IP90" s="82"/>
      <c r="IQ90" s="82"/>
      <c r="IR90" s="82"/>
      <c r="IS90" s="82"/>
      <c r="IT90" s="82"/>
      <c r="IU90" s="82"/>
      <c r="IV90" s="82"/>
    </row>
    <row r="91" spans="6:256" ht="23.25"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82"/>
      <c r="GQ91" s="82"/>
      <c r="GR91" s="82"/>
      <c r="GS91" s="82"/>
      <c r="GT91" s="82"/>
      <c r="GU91" s="82"/>
      <c r="GV91" s="82"/>
      <c r="GW91" s="82"/>
      <c r="GX91" s="82"/>
      <c r="GY91" s="82"/>
      <c r="GZ91" s="82"/>
      <c r="HA91" s="82"/>
      <c r="HB91" s="82"/>
      <c r="HC91" s="82"/>
      <c r="HD91" s="82"/>
      <c r="HE91" s="82"/>
      <c r="HF91" s="82"/>
      <c r="HG91" s="82"/>
      <c r="HH91" s="82"/>
      <c r="HI91" s="82"/>
      <c r="HJ91" s="82"/>
      <c r="HK91" s="82"/>
      <c r="HL91" s="82"/>
      <c r="HM91" s="82"/>
      <c r="HN91" s="82"/>
      <c r="HO91" s="82"/>
      <c r="HP91" s="82"/>
      <c r="HQ91" s="82"/>
      <c r="HR91" s="82"/>
      <c r="HS91" s="82"/>
      <c r="HT91" s="82"/>
      <c r="HU91" s="82"/>
      <c r="HV91" s="82"/>
      <c r="HW91" s="82"/>
      <c r="HX91" s="82"/>
      <c r="HY91" s="82"/>
      <c r="HZ91" s="82"/>
      <c r="IA91" s="82"/>
      <c r="IB91" s="82"/>
      <c r="IC91" s="82"/>
      <c r="ID91" s="82"/>
      <c r="IE91" s="82"/>
      <c r="IF91" s="82"/>
      <c r="IG91" s="82"/>
      <c r="IH91" s="82"/>
      <c r="II91" s="82"/>
      <c r="IJ91" s="82"/>
      <c r="IK91" s="82"/>
      <c r="IL91" s="82"/>
      <c r="IM91" s="82"/>
      <c r="IN91" s="82"/>
      <c r="IO91" s="82"/>
      <c r="IP91" s="82"/>
      <c r="IQ91" s="82"/>
      <c r="IR91" s="82"/>
      <c r="IS91" s="82"/>
      <c r="IT91" s="82"/>
      <c r="IU91" s="82"/>
      <c r="IV91" s="82"/>
    </row>
    <row r="92" spans="6:256" ht="23.25"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  <c r="II92" s="82"/>
      <c r="IJ92" s="82"/>
      <c r="IK92" s="82"/>
      <c r="IL92" s="82"/>
      <c r="IM92" s="82"/>
      <c r="IN92" s="82"/>
      <c r="IO92" s="82"/>
      <c r="IP92" s="82"/>
      <c r="IQ92" s="82"/>
      <c r="IR92" s="82"/>
      <c r="IS92" s="82"/>
      <c r="IT92" s="82"/>
      <c r="IU92" s="82"/>
      <c r="IV92" s="82"/>
    </row>
    <row r="93" spans="1:256" ht="23.25" hidden="1">
      <c r="A93" s="1543"/>
      <c r="B93" s="1566"/>
      <c r="C93" s="1566"/>
      <c r="D93" s="1566"/>
      <c r="E93" s="1568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  <c r="II93" s="82"/>
      <c r="IJ93" s="82"/>
      <c r="IK93" s="82"/>
      <c r="IL93" s="82"/>
      <c r="IM93" s="82"/>
      <c r="IN93" s="82"/>
      <c r="IO93" s="82"/>
      <c r="IP93" s="82"/>
      <c r="IQ93" s="82"/>
      <c r="IR93" s="82"/>
      <c r="IS93" s="82"/>
      <c r="IT93" s="82"/>
      <c r="IU93" s="82"/>
      <c r="IV93" s="82"/>
    </row>
    <row r="94" spans="1:256" ht="23.25" hidden="1">
      <c r="A94" s="1544"/>
      <c r="B94" s="1541"/>
      <c r="C94" s="1541"/>
      <c r="D94" s="1541"/>
      <c r="E94" s="1571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  <c r="GT94" s="82"/>
      <c r="GU94" s="82"/>
      <c r="GV94" s="82"/>
      <c r="GW94" s="82"/>
      <c r="GX94" s="82"/>
      <c r="GY94" s="82"/>
      <c r="GZ94" s="82"/>
      <c r="HA94" s="82"/>
      <c r="HB94" s="82"/>
      <c r="HC94" s="82"/>
      <c r="HD94" s="82"/>
      <c r="HE94" s="82"/>
      <c r="HF94" s="82"/>
      <c r="HG94" s="82"/>
      <c r="HH94" s="82"/>
      <c r="HI94" s="82"/>
      <c r="HJ94" s="82"/>
      <c r="HK94" s="82"/>
      <c r="HL94" s="82"/>
      <c r="HM94" s="82"/>
      <c r="HN94" s="82"/>
      <c r="HO94" s="82"/>
      <c r="HP94" s="82"/>
      <c r="HQ94" s="82"/>
      <c r="HR94" s="82"/>
      <c r="HS94" s="82"/>
      <c r="HT94" s="82"/>
      <c r="HU94" s="82"/>
      <c r="HV94" s="82"/>
      <c r="HW94" s="82"/>
      <c r="HX94" s="82"/>
      <c r="HY94" s="82"/>
      <c r="HZ94" s="82"/>
      <c r="IA94" s="82"/>
      <c r="IB94" s="82"/>
      <c r="IC94" s="82"/>
      <c r="ID94" s="82"/>
      <c r="IE94" s="82"/>
      <c r="IF94" s="82"/>
      <c r="IG94" s="82"/>
      <c r="IH94" s="82"/>
      <c r="II94" s="82"/>
      <c r="IJ94" s="82"/>
      <c r="IK94" s="82"/>
      <c r="IL94" s="82"/>
      <c r="IM94" s="82"/>
      <c r="IN94" s="82"/>
      <c r="IO94" s="82"/>
      <c r="IP94" s="82"/>
      <c r="IQ94" s="82"/>
      <c r="IR94" s="82"/>
      <c r="IS94" s="82"/>
      <c r="IT94" s="82"/>
      <c r="IU94" s="82"/>
      <c r="IV94" s="82"/>
    </row>
    <row r="95" spans="1:256" ht="23.25" hidden="1">
      <c r="A95" s="1543"/>
      <c r="B95" s="1578"/>
      <c r="C95" s="1578"/>
      <c r="D95" s="1578"/>
      <c r="E95" s="1579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  <c r="GT95" s="82"/>
      <c r="GU95" s="82"/>
      <c r="GV95" s="82"/>
      <c r="GW95" s="82"/>
      <c r="GX95" s="82"/>
      <c r="GY95" s="82"/>
      <c r="GZ95" s="82"/>
      <c r="HA95" s="82"/>
      <c r="HB95" s="82"/>
      <c r="HC95" s="82"/>
      <c r="HD95" s="82"/>
      <c r="HE95" s="82"/>
      <c r="HF95" s="82"/>
      <c r="HG95" s="82"/>
      <c r="HH95" s="82"/>
      <c r="HI95" s="82"/>
      <c r="HJ95" s="82"/>
      <c r="HK95" s="82"/>
      <c r="HL95" s="82"/>
      <c r="HM95" s="82"/>
      <c r="HN95" s="82"/>
      <c r="HO95" s="82"/>
      <c r="HP95" s="82"/>
      <c r="HQ95" s="82"/>
      <c r="HR95" s="82"/>
      <c r="HS95" s="82"/>
      <c r="HT95" s="82"/>
      <c r="HU95" s="82"/>
      <c r="HV95" s="82"/>
      <c r="HW95" s="82"/>
      <c r="HX95" s="82"/>
      <c r="HY95" s="82"/>
      <c r="HZ95" s="82"/>
      <c r="IA95" s="82"/>
      <c r="IB95" s="82"/>
      <c r="IC95" s="82"/>
      <c r="ID95" s="82"/>
      <c r="IE95" s="82"/>
      <c r="IF95" s="82"/>
      <c r="IG95" s="82"/>
      <c r="IH95" s="82"/>
      <c r="II95" s="82"/>
      <c r="IJ95" s="82"/>
      <c r="IK95" s="82"/>
      <c r="IL95" s="82"/>
      <c r="IM95" s="82"/>
      <c r="IN95" s="82"/>
      <c r="IO95" s="82"/>
      <c r="IP95" s="82"/>
      <c r="IQ95" s="82"/>
      <c r="IR95" s="82"/>
      <c r="IS95" s="82"/>
      <c r="IT95" s="82"/>
      <c r="IU95" s="82"/>
      <c r="IV95" s="82"/>
    </row>
    <row r="96" spans="1:256" ht="23.25" hidden="1">
      <c r="A96" s="1562"/>
      <c r="B96" s="1563"/>
      <c r="C96" s="1573"/>
      <c r="D96" s="1563"/>
      <c r="E96" s="1574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  <c r="GT96" s="82"/>
      <c r="GU96" s="82"/>
      <c r="GV96" s="82"/>
      <c r="GW96" s="82"/>
      <c r="GX96" s="82"/>
      <c r="GY96" s="82"/>
      <c r="GZ96" s="82"/>
      <c r="HA96" s="82"/>
      <c r="HB96" s="82"/>
      <c r="HC96" s="82"/>
      <c r="HD96" s="82"/>
      <c r="HE96" s="82"/>
      <c r="HF96" s="82"/>
      <c r="HG96" s="82"/>
      <c r="HH96" s="82"/>
      <c r="HI96" s="82"/>
      <c r="HJ96" s="82"/>
      <c r="HK96" s="82"/>
      <c r="HL96" s="82"/>
      <c r="HM96" s="82"/>
      <c r="HN96" s="82"/>
      <c r="HO96" s="82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2"/>
      <c r="IB96" s="82"/>
      <c r="IC96" s="82"/>
      <c r="ID96" s="82"/>
      <c r="IE96" s="82"/>
      <c r="IF96" s="82"/>
      <c r="IG96" s="82"/>
      <c r="IH96" s="82"/>
      <c r="II96" s="82"/>
      <c r="IJ96" s="82"/>
      <c r="IK96" s="82"/>
      <c r="IL96" s="82"/>
      <c r="IM96" s="82"/>
      <c r="IN96" s="82"/>
      <c r="IO96" s="82"/>
      <c r="IP96" s="82"/>
      <c r="IQ96" s="82"/>
      <c r="IR96" s="82"/>
      <c r="IS96" s="82"/>
      <c r="IT96" s="82"/>
      <c r="IU96" s="82"/>
      <c r="IV96" s="82"/>
    </row>
    <row r="97" spans="1:256" ht="23.25">
      <c r="A97" s="1362"/>
      <c r="B97" s="1365"/>
      <c r="C97" s="1365"/>
      <c r="D97" s="1365"/>
      <c r="E97" s="1271"/>
      <c r="F97" s="80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  <c r="GT97" s="82"/>
      <c r="GU97" s="82"/>
      <c r="GV97" s="82"/>
      <c r="GW97" s="82"/>
      <c r="GX97" s="82"/>
      <c r="GY97" s="82"/>
      <c r="GZ97" s="82"/>
      <c r="HA97" s="82"/>
      <c r="HB97" s="82"/>
      <c r="HC97" s="82"/>
      <c r="HD97" s="82"/>
      <c r="HE97" s="82"/>
      <c r="HF97" s="82"/>
      <c r="HG97" s="82"/>
      <c r="HH97" s="82"/>
      <c r="HI97" s="82"/>
      <c r="HJ97" s="82"/>
      <c r="HK97" s="82"/>
      <c r="HL97" s="82"/>
      <c r="HM97" s="82"/>
      <c r="HN97" s="82"/>
      <c r="HO97" s="82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  <c r="II97" s="82"/>
      <c r="IJ97" s="82"/>
      <c r="IK97" s="82"/>
      <c r="IL97" s="82"/>
      <c r="IM97" s="82"/>
      <c r="IN97" s="82"/>
      <c r="IO97" s="82"/>
      <c r="IP97" s="82"/>
      <c r="IQ97" s="82"/>
      <c r="IR97" s="82"/>
      <c r="IS97" s="82"/>
      <c r="IT97" s="82"/>
      <c r="IU97" s="82"/>
      <c r="IV97" s="82"/>
    </row>
    <row r="98" spans="6:256" ht="23.25">
      <c r="F98" s="80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  <c r="GT98" s="82"/>
      <c r="GU98" s="82"/>
      <c r="GV98" s="82"/>
      <c r="GW98" s="82"/>
      <c r="GX98" s="82"/>
      <c r="GY98" s="82"/>
      <c r="GZ98" s="82"/>
      <c r="HA98" s="82"/>
      <c r="HB98" s="82"/>
      <c r="HC98" s="82"/>
      <c r="HD98" s="82"/>
      <c r="HE98" s="82"/>
      <c r="HF98" s="82"/>
      <c r="HG98" s="82"/>
      <c r="HH98" s="82"/>
      <c r="HI98" s="82"/>
      <c r="HJ98" s="82"/>
      <c r="HK98" s="82"/>
      <c r="HL98" s="82"/>
      <c r="HM98" s="82"/>
      <c r="HN98" s="82"/>
      <c r="HO98" s="82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2"/>
      <c r="IB98" s="82"/>
      <c r="IC98" s="82"/>
      <c r="ID98" s="82"/>
      <c r="IE98" s="82"/>
      <c r="IF98" s="82"/>
      <c r="IG98" s="82"/>
      <c r="IH98" s="82"/>
      <c r="II98" s="82"/>
      <c r="IJ98" s="82"/>
      <c r="IK98" s="82"/>
      <c r="IL98" s="82"/>
      <c r="IM98" s="82"/>
      <c r="IN98" s="82"/>
      <c r="IO98" s="82"/>
      <c r="IP98" s="82"/>
      <c r="IQ98" s="82"/>
      <c r="IR98" s="82"/>
      <c r="IS98" s="82"/>
      <c r="IT98" s="82"/>
      <c r="IU98" s="82"/>
      <c r="IV98" s="82"/>
    </row>
    <row r="99" spans="6:256" ht="23.25"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  <c r="GT99" s="82"/>
      <c r="GU99" s="82"/>
      <c r="GV99" s="82"/>
      <c r="GW99" s="82"/>
      <c r="GX99" s="82"/>
      <c r="GY99" s="82"/>
      <c r="GZ99" s="82"/>
      <c r="HA99" s="82"/>
      <c r="HB99" s="82"/>
      <c r="HC99" s="82"/>
      <c r="HD99" s="82"/>
      <c r="HE99" s="82"/>
      <c r="HF99" s="82"/>
      <c r="HG99" s="82"/>
      <c r="HH99" s="82"/>
      <c r="HI99" s="82"/>
      <c r="HJ99" s="82"/>
      <c r="HK99" s="82"/>
      <c r="HL99" s="82"/>
      <c r="HM99" s="82"/>
      <c r="HN99" s="82"/>
      <c r="HO99" s="82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2"/>
      <c r="IB99" s="82"/>
      <c r="IC99" s="82"/>
      <c r="ID99" s="82"/>
      <c r="IE99" s="82"/>
      <c r="IF99" s="82"/>
      <c r="IG99" s="82"/>
      <c r="IH99" s="82"/>
      <c r="II99" s="82"/>
      <c r="IJ99" s="82"/>
      <c r="IK99" s="82"/>
      <c r="IL99" s="82"/>
      <c r="IM99" s="82"/>
      <c r="IN99" s="82"/>
      <c r="IO99" s="82"/>
      <c r="IP99" s="82"/>
      <c r="IQ99" s="82"/>
      <c r="IR99" s="82"/>
      <c r="IS99" s="82"/>
      <c r="IT99" s="82"/>
      <c r="IU99" s="82"/>
      <c r="IV99" s="82"/>
    </row>
    <row r="100" spans="6:256" ht="23.25"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  <c r="GT100" s="82"/>
      <c r="GU100" s="82"/>
      <c r="GV100" s="82"/>
      <c r="GW100" s="82"/>
      <c r="GX100" s="82"/>
      <c r="GY100" s="82"/>
      <c r="GZ100" s="82"/>
      <c r="HA100" s="82"/>
      <c r="HB100" s="82"/>
      <c r="HC100" s="82"/>
      <c r="HD100" s="82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  <c r="II100" s="82"/>
      <c r="IJ100" s="82"/>
      <c r="IK100" s="82"/>
      <c r="IL100" s="82"/>
      <c r="IM100" s="82"/>
      <c r="IN100" s="82"/>
      <c r="IO100" s="82"/>
      <c r="IP100" s="82"/>
      <c r="IQ100" s="82"/>
      <c r="IR100" s="82"/>
      <c r="IS100" s="82"/>
      <c r="IT100" s="82"/>
      <c r="IU100" s="82"/>
      <c r="IV100" s="82"/>
    </row>
    <row r="101" spans="6:256" ht="23.25"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2"/>
      <c r="GK101" s="82"/>
      <c r="GL101" s="82"/>
      <c r="GM101" s="82"/>
      <c r="GN101" s="82"/>
      <c r="GO101" s="82"/>
      <c r="GP101" s="82"/>
      <c r="GQ101" s="82"/>
      <c r="GR101" s="82"/>
      <c r="GS101" s="82"/>
      <c r="GT101" s="82"/>
      <c r="GU101" s="82"/>
      <c r="GV101" s="82"/>
      <c r="GW101" s="82"/>
      <c r="GX101" s="82"/>
      <c r="GY101" s="82"/>
      <c r="GZ101" s="82"/>
      <c r="HA101" s="82"/>
      <c r="HB101" s="82"/>
      <c r="HC101" s="82"/>
      <c r="HD101" s="82"/>
      <c r="HE101" s="82"/>
      <c r="HF101" s="82"/>
      <c r="HG101" s="82"/>
      <c r="HH101" s="82"/>
      <c r="HI101" s="82"/>
      <c r="HJ101" s="82"/>
      <c r="HK101" s="82"/>
      <c r="HL101" s="82"/>
      <c r="HM101" s="82"/>
      <c r="HN101" s="82"/>
      <c r="HO101" s="82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2"/>
      <c r="IB101" s="82"/>
      <c r="IC101" s="82"/>
      <c r="ID101" s="82"/>
      <c r="IE101" s="82"/>
      <c r="IF101" s="82"/>
      <c r="IG101" s="82"/>
      <c r="IH101" s="82"/>
      <c r="II101" s="82"/>
      <c r="IJ101" s="82"/>
      <c r="IK101" s="82"/>
      <c r="IL101" s="82"/>
      <c r="IM101" s="82"/>
      <c r="IN101" s="82"/>
      <c r="IO101" s="82"/>
      <c r="IP101" s="82"/>
      <c r="IQ101" s="82"/>
      <c r="IR101" s="82"/>
      <c r="IS101" s="82"/>
      <c r="IT101" s="82"/>
      <c r="IU101" s="82"/>
      <c r="IV101" s="82"/>
    </row>
    <row r="102" spans="1:5" ht="18.75">
      <c r="A102" s="10"/>
      <c r="B102" s="10"/>
      <c r="C102" s="10"/>
      <c r="D102" s="10"/>
      <c r="E102" s="10"/>
    </row>
    <row r="103" spans="1:5" ht="18.75">
      <c r="A103" s="10"/>
      <c r="B103" s="10"/>
      <c r="C103" s="10"/>
      <c r="D103" s="10"/>
      <c r="E103" s="10"/>
    </row>
    <row r="104" spans="1:5" ht="18.75">
      <c r="A104" s="10"/>
      <c r="B104" s="10"/>
      <c r="C104" s="10"/>
      <c r="D104" s="10"/>
      <c r="E104" s="10"/>
    </row>
    <row r="105" spans="1:5" ht="18.75">
      <c r="A105" s="10"/>
      <c r="B105" s="10"/>
      <c r="C105" s="10"/>
      <c r="D105" s="10"/>
      <c r="E105" s="10"/>
    </row>
    <row r="106" spans="1:256" ht="19.5">
      <c r="A106" s="10"/>
      <c r="B106" s="10"/>
      <c r="C106" s="10"/>
      <c r="D106" s="10"/>
      <c r="E106" s="10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</row>
    <row r="107" spans="1:5" ht="18.75">
      <c r="A107" s="10"/>
      <c r="B107" s="10"/>
      <c r="C107" s="10"/>
      <c r="D107" s="10"/>
      <c r="E107" s="10"/>
    </row>
    <row r="108" spans="1:5" ht="18.75">
      <c r="A108" s="10"/>
      <c r="B108" s="10"/>
      <c r="C108" s="10"/>
      <c r="D108" s="10"/>
      <c r="E108" s="10"/>
    </row>
    <row r="109" spans="1:5" ht="18.75">
      <c r="A109" s="10"/>
      <c r="B109" s="10"/>
      <c r="C109" s="10"/>
      <c r="D109" s="10"/>
      <c r="E109" s="10"/>
    </row>
  </sheetData>
  <sheetProtection/>
  <printOptions/>
  <pageMargins left="0.82" right="0.7874015748031497" top="0.5905511811023623" bottom="0.984251968503937" header="0.5118110236220472" footer="0.5118110236220472"/>
  <pageSetup horizontalDpi="300" verticalDpi="300" orientation="portrait" paperSize="9" scale="4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7"/>
  <sheetViews>
    <sheetView zoomScale="60" zoomScaleNormal="60" zoomScalePageLayoutView="0" workbookViewId="0" topLeftCell="A1">
      <selection activeCell="C6" sqref="C6"/>
    </sheetView>
  </sheetViews>
  <sheetFormatPr defaultColWidth="9.140625" defaultRowHeight="12.75"/>
  <cols>
    <col min="1" max="1" width="55.7109375" style="1129" customWidth="1"/>
    <col min="2" max="2" width="20.8515625" style="1129" bestFit="1" customWidth="1"/>
    <col min="3" max="3" width="24.00390625" style="1129" bestFit="1" customWidth="1"/>
    <col min="4" max="4" width="19.7109375" style="1129" bestFit="1" customWidth="1"/>
    <col min="5" max="5" width="17.57421875" style="1128" customWidth="1"/>
    <col min="6" max="16384" width="9.140625" style="155" customWidth="1"/>
  </cols>
  <sheetData>
    <row r="1" spans="1:4" ht="27.75" customHeight="1">
      <c r="A1" s="1128" t="s">
        <v>1626</v>
      </c>
      <c r="B1" s="1581"/>
      <c r="C1" s="1581"/>
      <c r="D1" s="1581"/>
    </row>
    <row r="2" spans="2:5" ht="27.75" customHeight="1" thickBot="1">
      <c r="B2" s="1581"/>
      <c r="C2" s="1581"/>
      <c r="D2" s="1581"/>
      <c r="E2" s="1582" t="s">
        <v>936</v>
      </c>
    </row>
    <row r="3" spans="1:5" ht="27.75" customHeight="1">
      <c r="A3" s="1583" t="s">
        <v>1057</v>
      </c>
      <c r="B3" s="1584" t="s">
        <v>585</v>
      </c>
      <c r="C3" s="1584" t="s">
        <v>1058</v>
      </c>
      <c r="D3" s="1584" t="s">
        <v>686</v>
      </c>
      <c r="E3" s="1585" t="s">
        <v>472</v>
      </c>
    </row>
    <row r="4" spans="1:5" ht="27.75" customHeight="1" thickBot="1">
      <c r="A4" s="1586" t="s">
        <v>1061</v>
      </c>
      <c r="B4" s="1587" t="s">
        <v>1125</v>
      </c>
      <c r="C4" s="1587" t="s">
        <v>1126</v>
      </c>
      <c r="D4" s="1587" t="s">
        <v>1127</v>
      </c>
      <c r="E4" s="1588" t="s">
        <v>480</v>
      </c>
    </row>
    <row r="5" spans="1:5" ht="23.25" customHeight="1">
      <c r="A5" s="2593" t="s">
        <v>1326</v>
      </c>
      <c r="B5" s="2594">
        <v>2032</v>
      </c>
      <c r="C5" s="2594">
        <v>0</v>
      </c>
      <c r="D5" s="2594">
        <v>0</v>
      </c>
      <c r="E5" s="2595">
        <f>SUM(B5:D5)</f>
        <v>2032</v>
      </c>
    </row>
    <row r="6" spans="1:5" ht="23.25" customHeight="1">
      <c r="A6" s="2593" t="s">
        <v>1664</v>
      </c>
      <c r="B6" s="2594">
        <v>750</v>
      </c>
      <c r="C6" s="2594">
        <v>0</v>
      </c>
      <c r="D6" s="2594">
        <v>0</v>
      </c>
      <c r="E6" s="2596">
        <f aca="true" t="shared" si="0" ref="E6:E39">SUM(B6:D6)</f>
        <v>750</v>
      </c>
    </row>
    <row r="7" spans="1:5" ht="23.25" customHeight="1">
      <c r="A7" s="2593" t="s">
        <v>1327</v>
      </c>
      <c r="B7" s="2594">
        <v>70</v>
      </c>
      <c r="C7" s="2594">
        <v>0</v>
      </c>
      <c r="D7" s="2594">
        <v>0</v>
      </c>
      <c r="E7" s="2596">
        <f t="shared" si="0"/>
        <v>70</v>
      </c>
    </row>
    <row r="8" spans="1:5" ht="23.25" customHeight="1">
      <c r="A8" s="2593" t="s">
        <v>1665</v>
      </c>
      <c r="B8" s="2594">
        <v>7333.7</v>
      </c>
      <c r="C8" s="2594">
        <v>680</v>
      </c>
      <c r="D8" s="2594">
        <v>0</v>
      </c>
      <c r="E8" s="2596">
        <f t="shared" si="0"/>
        <v>8013.7</v>
      </c>
    </row>
    <row r="9" spans="1:5" ht="23.25" customHeight="1">
      <c r="A9" s="2593" t="s">
        <v>1248</v>
      </c>
      <c r="B9" s="2594">
        <v>17.7</v>
      </c>
      <c r="C9" s="2594">
        <v>0</v>
      </c>
      <c r="D9" s="2594">
        <v>0</v>
      </c>
      <c r="E9" s="2596">
        <f t="shared" si="0"/>
        <v>17.7</v>
      </c>
    </row>
    <row r="10" spans="1:5" ht="23.25" customHeight="1">
      <c r="A10" s="2593" t="s">
        <v>1666</v>
      </c>
      <c r="B10" s="2594">
        <v>166.7</v>
      </c>
      <c r="C10" s="2594">
        <v>0</v>
      </c>
      <c r="D10" s="2594">
        <v>0</v>
      </c>
      <c r="E10" s="2596">
        <f t="shared" si="0"/>
        <v>166.7</v>
      </c>
    </row>
    <row r="11" spans="1:5" ht="23.25" customHeight="1">
      <c r="A11" s="2593" t="s">
        <v>1328</v>
      </c>
      <c r="B11" s="2594">
        <v>1114.097</v>
      </c>
      <c r="C11" s="2594">
        <v>0</v>
      </c>
      <c r="D11" s="2594">
        <v>0</v>
      </c>
      <c r="E11" s="2596">
        <f t="shared" si="0"/>
        <v>1114.097</v>
      </c>
    </row>
    <row r="12" spans="1:5" ht="23.25" customHeight="1">
      <c r="A12" s="2593" t="s">
        <v>1667</v>
      </c>
      <c r="B12" s="2594">
        <v>15</v>
      </c>
      <c r="C12" s="2594">
        <v>0</v>
      </c>
      <c r="D12" s="2594">
        <v>0</v>
      </c>
      <c r="E12" s="2596">
        <f t="shared" si="0"/>
        <v>15</v>
      </c>
    </row>
    <row r="13" spans="1:5" ht="23.25" customHeight="1">
      <c r="A13" s="2593" t="s">
        <v>1250</v>
      </c>
      <c r="B13" s="2594">
        <v>18135</v>
      </c>
      <c r="C13" s="2594">
        <v>26138</v>
      </c>
      <c r="D13" s="2594">
        <v>0</v>
      </c>
      <c r="E13" s="2596">
        <f t="shared" si="0"/>
        <v>44273</v>
      </c>
    </row>
    <row r="14" spans="1:5" ht="23.25" customHeight="1">
      <c r="A14" s="2593" t="s">
        <v>1552</v>
      </c>
      <c r="B14" s="2594">
        <v>0</v>
      </c>
      <c r="C14" s="2594">
        <v>32</v>
      </c>
      <c r="D14" s="2594">
        <v>0</v>
      </c>
      <c r="E14" s="2596">
        <f t="shared" si="0"/>
        <v>32</v>
      </c>
    </row>
    <row r="15" spans="1:5" ht="23.25" customHeight="1">
      <c r="A15" s="2593" t="s">
        <v>243</v>
      </c>
      <c r="B15" s="2594">
        <v>150</v>
      </c>
      <c r="C15" s="2594">
        <v>0</v>
      </c>
      <c r="D15" s="2594">
        <v>0</v>
      </c>
      <c r="E15" s="2596">
        <f t="shared" si="0"/>
        <v>150</v>
      </c>
    </row>
    <row r="16" spans="1:5" ht="23.25" customHeight="1">
      <c r="A16" s="2593" t="s">
        <v>1329</v>
      </c>
      <c r="B16" s="2594">
        <v>30798.628999999997</v>
      </c>
      <c r="C16" s="2594">
        <v>0</v>
      </c>
      <c r="D16" s="2594">
        <v>0</v>
      </c>
      <c r="E16" s="2596">
        <f t="shared" si="0"/>
        <v>30798.628999999997</v>
      </c>
    </row>
    <row r="17" spans="1:5" ht="23.25" customHeight="1">
      <c r="A17" s="2593" t="s">
        <v>1668</v>
      </c>
      <c r="B17" s="2594">
        <v>50.7</v>
      </c>
      <c r="C17" s="2594">
        <v>0</v>
      </c>
      <c r="D17" s="2594">
        <v>0</v>
      </c>
      <c r="E17" s="2596">
        <f t="shared" si="0"/>
        <v>50.7</v>
      </c>
    </row>
    <row r="18" spans="1:5" ht="23.25" customHeight="1">
      <c r="A18" s="2593" t="s">
        <v>1330</v>
      </c>
      <c r="B18" s="2594">
        <v>0</v>
      </c>
      <c r="C18" s="2594">
        <v>111000</v>
      </c>
      <c r="D18" s="2594">
        <v>0</v>
      </c>
      <c r="E18" s="2596">
        <f t="shared" si="0"/>
        <v>111000</v>
      </c>
    </row>
    <row r="19" spans="1:5" ht="23.25" customHeight="1">
      <c r="A19" s="2593" t="s">
        <v>1331</v>
      </c>
      <c r="B19" s="2594">
        <v>293.83</v>
      </c>
      <c r="C19" s="2594">
        <v>0</v>
      </c>
      <c r="D19" s="2594">
        <v>0</v>
      </c>
      <c r="E19" s="2596">
        <f t="shared" si="0"/>
        <v>293.83</v>
      </c>
    </row>
    <row r="20" spans="1:5" ht="23.25" customHeight="1">
      <c r="A20" s="2593" t="s">
        <v>1332</v>
      </c>
      <c r="B20" s="2594">
        <v>27994.100000000002</v>
      </c>
      <c r="C20" s="2594">
        <v>0</v>
      </c>
      <c r="D20" s="2594">
        <v>0</v>
      </c>
      <c r="E20" s="2596">
        <f t="shared" si="0"/>
        <v>27994.100000000002</v>
      </c>
    </row>
    <row r="21" spans="1:5" ht="23.25" customHeight="1">
      <c r="A21" s="2593" t="s">
        <v>244</v>
      </c>
      <c r="B21" s="2594">
        <v>0</v>
      </c>
      <c r="C21" s="2594">
        <v>3500</v>
      </c>
      <c r="D21" s="2594">
        <v>0</v>
      </c>
      <c r="E21" s="2596">
        <f t="shared" si="0"/>
        <v>3500</v>
      </c>
    </row>
    <row r="22" spans="1:5" ht="23.25" customHeight="1">
      <c r="A22" s="2593" t="s">
        <v>1333</v>
      </c>
      <c r="B22" s="2594">
        <v>105763</v>
      </c>
      <c r="C22" s="2594">
        <v>250</v>
      </c>
      <c r="D22" s="2594">
        <v>0</v>
      </c>
      <c r="E22" s="2596">
        <f t="shared" si="0"/>
        <v>106013</v>
      </c>
    </row>
    <row r="23" spans="1:5" ht="23.25" customHeight="1">
      <c r="A23" s="2593" t="s">
        <v>1249</v>
      </c>
      <c r="B23" s="2594">
        <v>40</v>
      </c>
      <c r="C23" s="2594">
        <v>0</v>
      </c>
      <c r="D23" s="2594">
        <v>0</v>
      </c>
      <c r="E23" s="2596">
        <f t="shared" si="0"/>
        <v>40</v>
      </c>
    </row>
    <row r="24" spans="1:5" ht="23.25" customHeight="1">
      <c r="A24" s="2593" t="s">
        <v>1334</v>
      </c>
      <c r="B24" s="2594">
        <v>1032</v>
      </c>
      <c r="C24" s="2594">
        <v>0</v>
      </c>
      <c r="D24" s="2594">
        <v>0</v>
      </c>
      <c r="E24" s="2596">
        <f t="shared" si="0"/>
        <v>1032</v>
      </c>
    </row>
    <row r="25" spans="1:5" ht="23.25" customHeight="1">
      <c r="A25" s="2593" t="s">
        <v>1335</v>
      </c>
      <c r="B25" s="2594">
        <v>715</v>
      </c>
      <c r="C25" s="2594">
        <v>200</v>
      </c>
      <c r="D25" s="2594">
        <v>0</v>
      </c>
      <c r="E25" s="2596">
        <f t="shared" si="0"/>
        <v>915</v>
      </c>
    </row>
    <row r="26" spans="1:5" ht="23.25" customHeight="1">
      <c r="A26" s="2593" t="s">
        <v>1553</v>
      </c>
      <c r="B26" s="2594">
        <v>0</v>
      </c>
      <c r="C26" s="2594">
        <v>7000</v>
      </c>
      <c r="D26" s="2594">
        <v>0</v>
      </c>
      <c r="E26" s="2596">
        <f t="shared" si="0"/>
        <v>7000</v>
      </c>
    </row>
    <row r="27" spans="1:5" ht="23.25" customHeight="1">
      <c r="A27" s="2593" t="s">
        <v>1669</v>
      </c>
      <c r="B27" s="2594">
        <v>0</v>
      </c>
      <c r="C27" s="2594">
        <v>410000</v>
      </c>
      <c r="D27" s="2594">
        <v>0</v>
      </c>
      <c r="E27" s="2596">
        <f t="shared" si="0"/>
        <v>410000</v>
      </c>
    </row>
    <row r="28" spans="1:5" ht="23.25" customHeight="1">
      <c r="A28" s="2593" t="s">
        <v>1336</v>
      </c>
      <c r="B28" s="2594">
        <v>1224</v>
      </c>
      <c r="C28" s="2594">
        <v>0</v>
      </c>
      <c r="D28" s="2594">
        <v>0</v>
      </c>
      <c r="E28" s="2596">
        <f t="shared" si="0"/>
        <v>1224</v>
      </c>
    </row>
    <row r="29" spans="1:5" ht="23.25" customHeight="1">
      <c r="A29" s="2593" t="s">
        <v>1337</v>
      </c>
      <c r="B29" s="2594">
        <v>171.05</v>
      </c>
      <c r="C29" s="2594">
        <v>0</v>
      </c>
      <c r="D29" s="2594">
        <v>0</v>
      </c>
      <c r="E29" s="2596">
        <f t="shared" si="0"/>
        <v>171.05</v>
      </c>
    </row>
    <row r="30" spans="1:5" ht="23.25" customHeight="1">
      <c r="A30" s="2593" t="s">
        <v>1338</v>
      </c>
      <c r="B30" s="2594">
        <v>262</v>
      </c>
      <c r="C30" s="2594">
        <v>0</v>
      </c>
      <c r="D30" s="2594">
        <v>0</v>
      </c>
      <c r="E30" s="2596">
        <f t="shared" si="0"/>
        <v>262</v>
      </c>
    </row>
    <row r="31" spans="1:5" ht="23.25" customHeight="1">
      <c r="A31" s="2593" t="s">
        <v>1554</v>
      </c>
      <c r="B31" s="2594">
        <v>0</v>
      </c>
      <c r="C31" s="2594">
        <v>12560</v>
      </c>
      <c r="D31" s="2594">
        <v>0</v>
      </c>
      <c r="E31" s="2596">
        <f t="shared" si="0"/>
        <v>12560</v>
      </c>
    </row>
    <row r="32" spans="1:5" ht="23.25" customHeight="1">
      <c r="A32" s="2593" t="s">
        <v>1339</v>
      </c>
      <c r="B32" s="2594">
        <v>9548</v>
      </c>
      <c r="C32" s="2594">
        <v>0</v>
      </c>
      <c r="D32" s="2594">
        <v>0</v>
      </c>
      <c r="E32" s="2596">
        <f t="shared" si="0"/>
        <v>9548</v>
      </c>
    </row>
    <row r="33" spans="1:5" ht="23.25" customHeight="1">
      <c r="A33" s="2593" t="s">
        <v>1340</v>
      </c>
      <c r="B33" s="2594">
        <v>2923.49</v>
      </c>
      <c r="C33" s="2594">
        <v>0</v>
      </c>
      <c r="D33" s="2594">
        <v>0</v>
      </c>
      <c r="E33" s="2596">
        <f t="shared" si="0"/>
        <v>2923.49</v>
      </c>
    </row>
    <row r="34" spans="1:5" ht="23.25" customHeight="1">
      <c r="A34" s="2593" t="s">
        <v>1555</v>
      </c>
      <c r="B34" s="2594">
        <v>95</v>
      </c>
      <c r="C34" s="2594">
        <v>0</v>
      </c>
      <c r="D34" s="2594">
        <v>0</v>
      </c>
      <c r="E34" s="2596">
        <f t="shared" si="0"/>
        <v>95</v>
      </c>
    </row>
    <row r="35" spans="1:5" ht="23.25" customHeight="1">
      <c r="A35" s="2593" t="s">
        <v>245</v>
      </c>
      <c r="B35" s="2594">
        <v>750</v>
      </c>
      <c r="C35" s="2594">
        <v>0</v>
      </c>
      <c r="D35" s="2594">
        <v>0</v>
      </c>
      <c r="E35" s="2596">
        <f t="shared" si="0"/>
        <v>750</v>
      </c>
    </row>
    <row r="36" spans="1:5" ht="23.25" customHeight="1">
      <c r="A36" s="2593" t="s">
        <v>1341</v>
      </c>
      <c r="B36" s="2594">
        <v>8106</v>
      </c>
      <c r="C36" s="2594">
        <v>0</v>
      </c>
      <c r="D36" s="2594">
        <v>0</v>
      </c>
      <c r="E36" s="2596">
        <f t="shared" si="0"/>
        <v>8106</v>
      </c>
    </row>
    <row r="37" spans="1:5" ht="23.25" customHeight="1">
      <c r="A37" s="2593" t="s">
        <v>1342</v>
      </c>
      <c r="B37" s="2594">
        <v>7303.67</v>
      </c>
      <c r="C37" s="2594">
        <v>0</v>
      </c>
      <c r="D37" s="2594">
        <v>0</v>
      </c>
      <c r="E37" s="2596">
        <f t="shared" si="0"/>
        <v>7303.67</v>
      </c>
    </row>
    <row r="38" spans="1:5" ht="23.25" customHeight="1">
      <c r="A38" s="2593" t="s">
        <v>1556</v>
      </c>
      <c r="B38" s="2594">
        <v>22500</v>
      </c>
      <c r="C38" s="2594">
        <v>0</v>
      </c>
      <c r="D38" s="2594">
        <v>0</v>
      </c>
      <c r="E38" s="2596">
        <f t="shared" si="0"/>
        <v>22500</v>
      </c>
    </row>
    <row r="39" spans="1:5" ht="23.25" customHeight="1">
      <c r="A39" s="2593" t="s">
        <v>1343</v>
      </c>
      <c r="B39" s="2594">
        <v>161380.4</v>
      </c>
      <c r="C39" s="2594">
        <v>0</v>
      </c>
      <c r="D39" s="2594">
        <v>0</v>
      </c>
      <c r="E39" s="2596">
        <f t="shared" si="0"/>
        <v>161380.4</v>
      </c>
    </row>
    <row r="40" spans="1:5" ht="19.5" customHeight="1">
      <c r="A40" s="1187"/>
      <c r="B40" s="1158"/>
      <c r="C40" s="1158"/>
      <c r="D40" s="1158"/>
      <c r="E40" s="251"/>
    </row>
    <row r="41" spans="1:5" ht="19.5" customHeight="1">
      <c r="A41" s="1187"/>
      <c r="B41" s="1158"/>
      <c r="C41" s="1158"/>
      <c r="D41" s="1158"/>
      <c r="E41" s="251"/>
    </row>
    <row r="42" spans="1:5" ht="19.5" customHeight="1">
      <c r="A42" s="1589"/>
      <c r="B42" s="1158"/>
      <c r="C42" s="1158"/>
      <c r="D42" s="1158"/>
      <c r="E42" s="251"/>
    </row>
    <row r="43" spans="1:5" ht="19.5" customHeight="1">
      <c r="A43" s="1589"/>
      <c r="B43" s="1158"/>
      <c r="C43" s="1158"/>
      <c r="D43" s="1158"/>
      <c r="E43" s="251"/>
    </row>
    <row r="44" spans="1:5" ht="19.5" customHeight="1">
      <c r="A44" s="1187"/>
      <c r="B44" s="1158"/>
      <c r="C44" s="1158"/>
      <c r="D44" s="1158"/>
      <c r="E44" s="251"/>
    </row>
    <row r="45" spans="1:5" ht="19.5" customHeight="1">
      <c r="A45" s="1187"/>
      <c r="B45" s="1158"/>
      <c r="C45" s="1158"/>
      <c r="D45" s="1158"/>
      <c r="E45" s="251"/>
    </row>
    <row r="46" spans="1:5" ht="19.5" customHeight="1">
      <c r="A46" s="1187"/>
      <c r="B46" s="1158"/>
      <c r="C46" s="1158"/>
      <c r="D46" s="1158"/>
      <c r="E46" s="251"/>
    </row>
    <row r="47" spans="1:5" ht="19.5" customHeight="1">
      <c r="A47" s="1187"/>
      <c r="B47" s="111"/>
      <c r="C47" s="1158"/>
      <c r="D47" s="1158"/>
      <c r="E47" s="251"/>
    </row>
  </sheetData>
  <sheetProtection/>
  <printOptions/>
  <pageMargins left="0.85" right="1" top="0.83" bottom="1" header="0.5" footer="0.5"/>
  <pageSetup horizontalDpi="300" verticalDpi="300" orientation="portrait" paperSize="9" scale="5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03"/>
  <sheetViews>
    <sheetView zoomScale="60" zoomScaleNormal="60" zoomScaleSheetLayoutView="37" zoomScalePageLayoutView="0" workbookViewId="0" topLeftCell="A52">
      <selection activeCell="C114" sqref="C114"/>
    </sheetView>
  </sheetViews>
  <sheetFormatPr defaultColWidth="9.140625" defaultRowHeight="12.75"/>
  <cols>
    <col min="1" max="1" width="52.28125" style="2601" customWidth="1"/>
    <col min="2" max="2" width="37.7109375" style="2601" customWidth="1"/>
    <col min="3" max="3" width="42.28125" style="2601" customWidth="1"/>
    <col min="4" max="4" width="42.00390625" style="2601" customWidth="1"/>
    <col min="5" max="5" width="36.140625" style="2612" customWidth="1"/>
    <col min="6" max="8" width="9.140625" style="2601" customWidth="1"/>
    <col min="9" max="9" width="47.7109375" style="2601" customWidth="1"/>
    <col min="10" max="10" width="15.28125" style="2601" customWidth="1"/>
    <col min="11" max="11" width="26.140625" style="2601" customWidth="1"/>
    <col min="12" max="12" width="19.7109375" style="2601" customWidth="1"/>
    <col min="13" max="13" width="15.28125" style="2601" customWidth="1"/>
    <col min="14" max="16384" width="9.140625" style="2601" customWidth="1"/>
  </cols>
  <sheetData>
    <row r="1" spans="1:5" ht="30.75" customHeight="1">
      <c r="A1" s="2104" t="s">
        <v>1641</v>
      </c>
      <c r="B1" s="1985"/>
      <c r="C1" s="1985"/>
      <c r="D1" s="1985"/>
      <c r="E1" s="1928" t="s">
        <v>1207</v>
      </c>
    </row>
    <row r="2" spans="1:5" ht="36" customHeight="1" thickBot="1">
      <c r="A2" s="2104"/>
      <c r="B2" s="1985"/>
      <c r="C2" s="1985"/>
      <c r="D2" s="1985"/>
      <c r="E2" s="1928"/>
    </row>
    <row r="3" spans="1:5" ht="30.75" customHeight="1">
      <c r="A3" s="2602" t="s">
        <v>1057</v>
      </c>
      <c r="B3" s="2603" t="s">
        <v>585</v>
      </c>
      <c r="C3" s="2603" t="s">
        <v>1058</v>
      </c>
      <c r="D3" s="2603" t="s">
        <v>686</v>
      </c>
      <c r="E3" s="2604" t="s">
        <v>472</v>
      </c>
    </row>
    <row r="4" spans="1:5" ht="30.75" customHeight="1" thickBot="1">
      <c r="A4" s="2605" t="s">
        <v>1061</v>
      </c>
      <c r="B4" s="2606" t="s">
        <v>1125</v>
      </c>
      <c r="C4" s="2606" t="s">
        <v>1126</v>
      </c>
      <c r="D4" s="2606" t="s">
        <v>1127</v>
      </c>
      <c r="E4" s="2607" t="s">
        <v>480</v>
      </c>
    </row>
    <row r="5" spans="1:7" ht="26.25" customHeight="1">
      <c r="A5" s="2517" t="s">
        <v>168</v>
      </c>
      <c r="B5" s="2613">
        <v>0</v>
      </c>
      <c r="C5" s="2613">
        <v>80</v>
      </c>
      <c r="D5" s="2613">
        <v>0</v>
      </c>
      <c r="E5" s="2614">
        <f>SUM(B5:D5)</f>
        <v>80</v>
      </c>
      <c r="F5" s="1607"/>
      <c r="G5" s="2608"/>
    </row>
    <row r="6" spans="1:7" ht="26.25" customHeight="1">
      <c r="A6" s="2388" t="s">
        <v>169</v>
      </c>
      <c r="B6" s="2614">
        <v>200</v>
      </c>
      <c r="C6" s="2614">
        <v>0</v>
      </c>
      <c r="D6" s="2614">
        <v>0</v>
      </c>
      <c r="E6" s="2614">
        <f aca="true" t="shared" si="0" ref="E6:E66">SUM(B6:D6)</f>
        <v>200</v>
      </c>
      <c r="F6" s="1607"/>
      <c r="G6" s="2608"/>
    </row>
    <row r="7" spans="1:7" ht="26.25" customHeight="1">
      <c r="A7" s="2388" t="s">
        <v>232</v>
      </c>
      <c r="B7" s="2614">
        <v>150</v>
      </c>
      <c r="C7" s="2614">
        <v>0</v>
      </c>
      <c r="D7" s="2614">
        <v>0</v>
      </c>
      <c r="E7" s="2614">
        <f t="shared" si="0"/>
        <v>150</v>
      </c>
      <c r="F7" s="1607"/>
      <c r="G7" s="2608"/>
    </row>
    <row r="8" spans="1:7" ht="26.25" customHeight="1">
      <c r="A8" s="2105" t="s">
        <v>1208</v>
      </c>
      <c r="B8" s="2614">
        <v>300</v>
      </c>
      <c r="C8" s="2614">
        <v>1242</v>
      </c>
      <c r="D8" s="2614">
        <v>0</v>
      </c>
      <c r="E8" s="2614">
        <f t="shared" si="0"/>
        <v>1542</v>
      </c>
      <c r="F8" s="1607"/>
      <c r="G8" s="2608"/>
    </row>
    <row r="9" spans="1:7" ht="26.25" customHeight="1">
      <c r="A9" s="2105" t="s">
        <v>1557</v>
      </c>
      <c r="B9" s="2614">
        <v>14</v>
      </c>
      <c r="C9" s="2614">
        <v>293</v>
      </c>
      <c r="D9" s="2614">
        <v>0</v>
      </c>
      <c r="E9" s="2614">
        <f t="shared" si="0"/>
        <v>307</v>
      </c>
      <c r="F9" s="1607"/>
      <c r="G9" s="2608"/>
    </row>
    <row r="10" spans="1:7" ht="26.25" customHeight="1">
      <c r="A10" s="2105" t="s">
        <v>1670</v>
      </c>
      <c r="B10" s="2614">
        <v>100</v>
      </c>
      <c r="C10" s="2614">
        <v>543</v>
      </c>
      <c r="D10" s="2614">
        <v>0</v>
      </c>
      <c r="E10" s="2614">
        <f t="shared" si="0"/>
        <v>643</v>
      </c>
      <c r="F10" s="1607"/>
      <c r="G10" s="2608"/>
    </row>
    <row r="11" spans="1:7" ht="26.25" customHeight="1">
      <c r="A11" s="2105" t="s">
        <v>1671</v>
      </c>
      <c r="B11" s="2614">
        <v>0</v>
      </c>
      <c r="C11" s="2614">
        <v>959</v>
      </c>
      <c r="D11" s="2614">
        <v>0</v>
      </c>
      <c r="E11" s="2614">
        <f t="shared" si="0"/>
        <v>959</v>
      </c>
      <c r="F11" s="1607"/>
      <c r="G11" s="2608"/>
    </row>
    <row r="12" spans="1:7" ht="26.25" customHeight="1">
      <c r="A12" s="2105" t="s">
        <v>233</v>
      </c>
      <c r="B12" s="2614">
        <v>13200</v>
      </c>
      <c r="C12" s="2614">
        <v>0</v>
      </c>
      <c r="D12" s="2614">
        <v>0</v>
      </c>
      <c r="E12" s="2614">
        <f t="shared" si="0"/>
        <v>13200</v>
      </c>
      <c r="F12" s="1607"/>
      <c r="G12" s="2608"/>
    </row>
    <row r="13" spans="1:7" ht="26.25" customHeight="1">
      <c r="A13" s="2105" t="s">
        <v>234</v>
      </c>
      <c r="B13" s="2614">
        <v>0</v>
      </c>
      <c r="C13" s="2614">
        <v>147</v>
      </c>
      <c r="D13" s="2614">
        <v>0</v>
      </c>
      <c r="E13" s="2614">
        <f t="shared" si="0"/>
        <v>147</v>
      </c>
      <c r="F13" s="1607"/>
      <c r="G13" s="2608"/>
    </row>
    <row r="14" spans="1:7" ht="26.25" customHeight="1">
      <c r="A14" s="2105" t="s">
        <v>1610</v>
      </c>
      <c r="B14" s="2614">
        <v>0</v>
      </c>
      <c r="C14" s="2614">
        <v>3000</v>
      </c>
      <c r="D14" s="2614">
        <v>0</v>
      </c>
      <c r="E14" s="2614">
        <f t="shared" si="0"/>
        <v>3000</v>
      </c>
      <c r="F14" s="1607"/>
      <c r="G14" s="2608"/>
    </row>
    <row r="15" spans="1:7" ht="26.25" customHeight="1">
      <c r="A15" s="2105" t="s">
        <v>1672</v>
      </c>
      <c r="B15" s="2614">
        <v>45500</v>
      </c>
      <c r="C15" s="2614">
        <v>75674</v>
      </c>
      <c r="D15" s="2614">
        <v>20088</v>
      </c>
      <c r="E15" s="2614">
        <f t="shared" si="0"/>
        <v>141262</v>
      </c>
      <c r="F15" s="1607"/>
      <c r="G15" s="2608"/>
    </row>
    <row r="16" spans="1:7" ht="26.25" customHeight="1">
      <c r="A16" s="2105" t="s">
        <v>1673</v>
      </c>
      <c r="B16" s="2614">
        <v>1000</v>
      </c>
      <c r="C16" s="2614">
        <v>20772</v>
      </c>
      <c r="D16" s="2614">
        <v>1536</v>
      </c>
      <c r="E16" s="2614">
        <f t="shared" si="0"/>
        <v>23308</v>
      </c>
      <c r="F16" s="1607"/>
      <c r="G16" s="2608"/>
    </row>
    <row r="17" spans="1:7" ht="26.25" customHeight="1">
      <c r="A17" s="2105" t="s">
        <v>166</v>
      </c>
      <c r="B17" s="2614">
        <v>0</v>
      </c>
      <c r="C17" s="2614">
        <v>200</v>
      </c>
      <c r="D17" s="2614">
        <v>0</v>
      </c>
      <c r="E17" s="2614">
        <f t="shared" si="0"/>
        <v>200</v>
      </c>
      <c r="F17" s="1607"/>
      <c r="G17" s="2608"/>
    </row>
    <row r="18" spans="1:7" ht="26.25" customHeight="1">
      <c r="A18" s="2105" t="s">
        <v>235</v>
      </c>
      <c r="B18" s="2614">
        <v>0</v>
      </c>
      <c r="C18" s="2614">
        <v>1000</v>
      </c>
      <c r="D18" s="2614">
        <v>0</v>
      </c>
      <c r="E18" s="2614">
        <f t="shared" si="0"/>
        <v>1000</v>
      </c>
      <c r="F18" s="1607"/>
      <c r="G18" s="2608"/>
    </row>
    <row r="19" spans="1:7" ht="26.25" customHeight="1">
      <c r="A19" s="2105" t="s">
        <v>1674</v>
      </c>
      <c r="B19" s="2614">
        <v>200</v>
      </c>
      <c r="C19" s="2614">
        <v>650</v>
      </c>
      <c r="D19" s="2614">
        <v>31</v>
      </c>
      <c r="E19" s="2614">
        <f t="shared" si="0"/>
        <v>881</v>
      </c>
      <c r="F19" s="1607"/>
      <c r="G19" s="2608"/>
    </row>
    <row r="20" spans="1:7" ht="26.25" customHeight="1">
      <c r="A20" s="2105" t="s">
        <v>1558</v>
      </c>
      <c r="B20" s="2614">
        <v>849000</v>
      </c>
      <c r="C20" s="2614">
        <v>0</v>
      </c>
      <c r="D20" s="2614">
        <v>3000</v>
      </c>
      <c r="E20" s="2614">
        <f t="shared" si="0"/>
        <v>852000</v>
      </c>
      <c r="F20" s="1607"/>
      <c r="G20" s="2608"/>
    </row>
    <row r="21" spans="1:7" ht="26.25" customHeight="1">
      <c r="A21" s="2105" t="s">
        <v>1675</v>
      </c>
      <c r="B21" s="2614">
        <v>11500</v>
      </c>
      <c r="C21" s="2614">
        <v>11692</v>
      </c>
      <c r="D21" s="2614">
        <v>3072</v>
      </c>
      <c r="E21" s="2614">
        <f t="shared" si="0"/>
        <v>26264</v>
      </c>
      <c r="F21" s="1607"/>
      <c r="G21" s="2608"/>
    </row>
    <row r="22" spans="1:7" ht="26.25" customHeight="1">
      <c r="A22" s="2105" t="s">
        <v>165</v>
      </c>
      <c r="B22" s="2614">
        <v>0</v>
      </c>
      <c r="C22" s="2614">
        <v>100</v>
      </c>
      <c r="D22" s="2614">
        <v>0</v>
      </c>
      <c r="E22" s="2614">
        <f t="shared" si="0"/>
        <v>100</v>
      </c>
      <c r="F22" s="1607"/>
      <c r="G22" s="2608"/>
    </row>
    <row r="23" spans="1:7" ht="26.25" customHeight="1">
      <c r="A23" s="2388" t="s">
        <v>502</v>
      </c>
      <c r="B23" s="2614">
        <v>245534</v>
      </c>
      <c r="C23" s="2614">
        <v>253788</v>
      </c>
      <c r="D23" s="2614">
        <v>93960</v>
      </c>
      <c r="E23" s="2614">
        <f t="shared" si="0"/>
        <v>593282</v>
      </c>
      <c r="F23" s="1607"/>
      <c r="G23" s="2608"/>
    </row>
    <row r="24" spans="1:7" ht="26.25" customHeight="1">
      <c r="A24" s="2105" t="s">
        <v>164</v>
      </c>
      <c r="B24" s="2614">
        <v>0</v>
      </c>
      <c r="C24" s="2614">
        <v>70</v>
      </c>
      <c r="D24" s="2614">
        <v>0</v>
      </c>
      <c r="E24" s="2614">
        <f t="shared" si="0"/>
        <v>70</v>
      </c>
      <c r="F24" s="1607"/>
      <c r="G24" s="2608"/>
    </row>
    <row r="25" spans="1:7" ht="26.25" customHeight="1">
      <c r="A25" s="2105" t="s">
        <v>1559</v>
      </c>
      <c r="B25" s="2614">
        <v>1680</v>
      </c>
      <c r="C25" s="2614">
        <v>2749</v>
      </c>
      <c r="D25" s="2614">
        <v>0</v>
      </c>
      <c r="E25" s="2614">
        <f t="shared" si="0"/>
        <v>4429</v>
      </c>
      <c r="F25" s="1607"/>
      <c r="G25" s="2608"/>
    </row>
    <row r="26" spans="1:7" ht="26.25" customHeight="1">
      <c r="A26" s="2105" t="s">
        <v>1676</v>
      </c>
      <c r="B26" s="2614">
        <v>622</v>
      </c>
      <c r="C26" s="2614">
        <v>455</v>
      </c>
      <c r="D26" s="2614">
        <v>0</v>
      </c>
      <c r="E26" s="2614">
        <f t="shared" si="0"/>
        <v>1077</v>
      </c>
      <c r="F26" s="1607"/>
      <c r="G26" s="2608"/>
    </row>
    <row r="27" spans="1:7" ht="26.25" customHeight="1">
      <c r="A27" s="2105" t="s">
        <v>1560</v>
      </c>
      <c r="B27" s="2614">
        <v>0</v>
      </c>
      <c r="C27" s="2614">
        <v>462</v>
      </c>
      <c r="D27" s="2614">
        <v>0</v>
      </c>
      <c r="E27" s="2614">
        <f t="shared" si="0"/>
        <v>462</v>
      </c>
      <c r="F27" s="1607"/>
      <c r="G27" s="2608"/>
    </row>
    <row r="28" spans="1:7" ht="26.25" customHeight="1">
      <c r="A28" s="2105" t="s">
        <v>503</v>
      </c>
      <c r="B28" s="2614">
        <v>17129</v>
      </c>
      <c r="C28" s="2614">
        <v>12864</v>
      </c>
      <c r="D28" s="2614">
        <v>0</v>
      </c>
      <c r="E28" s="2614">
        <f t="shared" si="0"/>
        <v>29993</v>
      </c>
      <c r="F28" s="1607"/>
      <c r="G28" s="2608"/>
    </row>
    <row r="29" spans="1:7" ht="26.25" customHeight="1">
      <c r="A29" s="2105" t="s">
        <v>1677</v>
      </c>
      <c r="B29" s="2614">
        <v>0</v>
      </c>
      <c r="C29" s="2614">
        <v>4000</v>
      </c>
      <c r="D29" s="2614">
        <v>0</v>
      </c>
      <c r="E29" s="2614">
        <f t="shared" si="0"/>
        <v>4000</v>
      </c>
      <c r="F29" s="1607"/>
      <c r="G29" s="2608"/>
    </row>
    <row r="30" spans="1:7" ht="26.25" customHeight="1">
      <c r="A30" s="2105" t="s">
        <v>236</v>
      </c>
      <c r="B30" s="2614">
        <v>0</v>
      </c>
      <c r="C30" s="2614">
        <v>20</v>
      </c>
      <c r="D30" s="2614">
        <v>0</v>
      </c>
      <c r="E30" s="2614">
        <f t="shared" si="0"/>
        <v>20</v>
      </c>
      <c r="F30" s="1607"/>
      <c r="G30" s="2608"/>
    </row>
    <row r="31" spans="1:7" ht="26.25" customHeight="1">
      <c r="A31" s="2105" t="s">
        <v>1678</v>
      </c>
      <c r="B31" s="2614">
        <v>0</v>
      </c>
      <c r="C31" s="2614">
        <v>674</v>
      </c>
      <c r="D31" s="2614">
        <v>0</v>
      </c>
      <c r="E31" s="2614">
        <f t="shared" si="0"/>
        <v>674</v>
      </c>
      <c r="F31" s="1607"/>
      <c r="G31" s="2608"/>
    </row>
    <row r="32" spans="1:7" ht="26.25" customHeight="1">
      <c r="A32" s="2105" t="s">
        <v>1561</v>
      </c>
      <c r="B32" s="2614">
        <v>0</v>
      </c>
      <c r="C32" s="2614">
        <v>200</v>
      </c>
      <c r="D32" s="2614">
        <v>0</v>
      </c>
      <c r="E32" s="2614">
        <f t="shared" si="0"/>
        <v>200</v>
      </c>
      <c r="F32" s="1607"/>
      <c r="G32" s="2608"/>
    </row>
    <row r="33" spans="1:7" ht="26.25" customHeight="1">
      <c r="A33" s="2105" t="s">
        <v>167</v>
      </c>
      <c r="B33" s="2614">
        <v>0</v>
      </c>
      <c r="C33" s="2614">
        <v>40</v>
      </c>
      <c r="D33" s="2614">
        <v>0</v>
      </c>
      <c r="E33" s="2614">
        <f t="shared" si="0"/>
        <v>40</v>
      </c>
      <c r="F33" s="1607"/>
      <c r="G33" s="2608"/>
    </row>
    <row r="34" spans="1:7" ht="26.25" customHeight="1">
      <c r="A34" s="2105" t="s">
        <v>237</v>
      </c>
      <c r="B34" s="2614">
        <v>6000</v>
      </c>
      <c r="C34" s="2614">
        <v>0</v>
      </c>
      <c r="D34" s="2614">
        <v>0</v>
      </c>
      <c r="E34" s="2614">
        <f t="shared" si="0"/>
        <v>6000</v>
      </c>
      <c r="F34" s="1607"/>
      <c r="G34" s="2608"/>
    </row>
    <row r="35" spans="1:7" ht="26.25" customHeight="1">
      <c r="A35" s="2105" t="s">
        <v>238</v>
      </c>
      <c r="B35" s="2614">
        <v>0</v>
      </c>
      <c r="C35" s="2614">
        <v>4644</v>
      </c>
      <c r="D35" s="2614">
        <v>0</v>
      </c>
      <c r="E35" s="2614">
        <f t="shared" si="0"/>
        <v>4644</v>
      </c>
      <c r="F35" s="1607"/>
      <c r="G35" s="2608"/>
    </row>
    <row r="36" spans="1:7" ht="26.25" customHeight="1">
      <c r="A36" s="2105" t="s">
        <v>1682</v>
      </c>
      <c r="B36" s="2614">
        <v>730</v>
      </c>
      <c r="C36" s="2614">
        <v>500</v>
      </c>
      <c r="D36" s="2614">
        <v>0</v>
      </c>
      <c r="E36" s="2614">
        <f t="shared" si="0"/>
        <v>1230</v>
      </c>
      <c r="F36" s="1607"/>
      <c r="G36" s="2608"/>
    </row>
    <row r="37" spans="1:7" ht="26.25" customHeight="1">
      <c r="A37" s="2105" t="s">
        <v>504</v>
      </c>
      <c r="B37" s="2614">
        <v>33000</v>
      </c>
      <c r="C37" s="2614">
        <v>0</v>
      </c>
      <c r="D37" s="2614">
        <v>0</v>
      </c>
      <c r="E37" s="2614">
        <f t="shared" si="0"/>
        <v>33000</v>
      </c>
      <c r="F37" s="1607"/>
      <c r="G37" s="2608"/>
    </row>
    <row r="38" spans="1:7" ht="26.25" customHeight="1">
      <c r="A38" s="2105" t="s">
        <v>505</v>
      </c>
      <c r="B38" s="2614">
        <v>115070</v>
      </c>
      <c r="C38" s="2614">
        <v>266400</v>
      </c>
      <c r="D38" s="2614">
        <v>0</v>
      </c>
      <c r="E38" s="2614">
        <f t="shared" si="0"/>
        <v>381470</v>
      </c>
      <c r="F38" s="1607"/>
      <c r="G38" s="2608"/>
    </row>
    <row r="39" spans="1:7" ht="26.25" customHeight="1">
      <c r="A39" s="2105" t="s">
        <v>1679</v>
      </c>
      <c r="B39" s="2614">
        <v>20650</v>
      </c>
      <c r="C39" s="2614">
        <v>53100</v>
      </c>
      <c r="D39" s="2614">
        <v>0</v>
      </c>
      <c r="E39" s="2614">
        <f t="shared" si="0"/>
        <v>73750</v>
      </c>
      <c r="F39" s="1607"/>
      <c r="G39" s="2608"/>
    </row>
    <row r="40" spans="1:7" ht="26.25" customHeight="1">
      <c r="A40" s="2105" t="s">
        <v>1573</v>
      </c>
      <c r="B40" s="2614">
        <v>0</v>
      </c>
      <c r="C40" s="2614">
        <v>200</v>
      </c>
      <c r="D40" s="2614">
        <v>0</v>
      </c>
      <c r="E40" s="2614">
        <f t="shared" si="0"/>
        <v>200</v>
      </c>
      <c r="F40" s="1607"/>
      <c r="G40" s="2608"/>
    </row>
    <row r="41" spans="1:7" ht="26.25" customHeight="1">
      <c r="A41" s="2105" t="s">
        <v>1680</v>
      </c>
      <c r="B41" s="2614">
        <v>500</v>
      </c>
      <c r="C41" s="2614">
        <v>1634</v>
      </c>
      <c r="D41" s="2614">
        <v>0</v>
      </c>
      <c r="E41" s="2614">
        <f t="shared" si="0"/>
        <v>2134</v>
      </c>
      <c r="F41" s="1607"/>
      <c r="G41" s="2608"/>
    </row>
    <row r="42" spans="1:7" ht="26.25" customHeight="1">
      <c r="A42" s="2105" t="s">
        <v>506</v>
      </c>
      <c r="B42" s="2614">
        <v>3000</v>
      </c>
      <c r="C42" s="2614">
        <v>71000</v>
      </c>
      <c r="D42" s="2614">
        <v>0</v>
      </c>
      <c r="E42" s="2614">
        <f t="shared" si="0"/>
        <v>74000</v>
      </c>
      <c r="F42" s="1607"/>
      <c r="G42" s="2608"/>
    </row>
    <row r="43" spans="1:7" ht="26.25" customHeight="1">
      <c r="A43" s="2105" t="s">
        <v>1681</v>
      </c>
      <c r="B43" s="2614">
        <v>100</v>
      </c>
      <c r="C43" s="2614">
        <v>700</v>
      </c>
      <c r="D43" s="2614">
        <v>0</v>
      </c>
      <c r="E43" s="2614">
        <f t="shared" si="0"/>
        <v>800</v>
      </c>
      <c r="F43" s="1607"/>
      <c r="G43" s="2608"/>
    </row>
    <row r="44" spans="1:7" ht="26.25" customHeight="1">
      <c r="A44" s="2105" t="s">
        <v>239</v>
      </c>
      <c r="B44" s="2614">
        <v>0</v>
      </c>
      <c r="C44" s="2614">
        <v>88</v>
      </c>
      <c r="D44" s="2614">
        <v>0</v>
      </c>
      <c r="E44" s="2614">
        <f t="shared" si="0"/>
        <v>88</v>
      </c>
      <c r="F44" s="1607"/>
      <c r="G44" s="2608"/>
    </row>
    <row r="45" spans="1:7" ht="26.25" customHeight="1">
      <c r="A45" s="2388" t="s">
        <v>240</v>
      </c>
      <c r="B45" s="2614">
        <v>0</v>
      </c>
      <c r="C45" s="2614">
        <v>13824</v>
      </c>
      <c r="D45" s="2614">
        <v>4992</v>
      </c>
      <c r="E45" s="2614">
        <f t="shared" si="0"/>
        <v>18816</v>
      </c>
      <c r="F45" s="1607"/>
      <c r="G45" s="2608"/>
    </row>
    <row r="46" spans="1:7" ht="26.25" customHeight="1">
      <c r="A46" s="2105" t="s">
        <v>507</v>
      </c>
      <c r="B46" s="2614">
        <v>500</v>
      </c>
      <c r="C46" s="2614">
        <v>4112</v>
      </c>
      <c r="D46" s="2614">
        <v>90</v>
      </c>
      <c r="E46" s="2614">
        <f t="shared" si="0"/>
        <v>4702</v>
      </c>
      <c r="F46" s="1607"/>
      <c r="G46" s="2608"/>
    </row>
    <row r="47" spans="1:7" ht="26.25" customHeight="1">
      <c r="A47" s="2105" t="s">
        <v>1683</v>
      </c>
      <c r="B47" s="2614">
        <v>500</v>
      </c>
      <c r="C47" s="2614">
        <v>5195</v>
      </c>
      <c r="D47" s="2614">
        <v>50</v>
      </c>
      <c r="E47" s="2614">
        <f t="shared" si="0"/>
        <v>5745</v>
      </c>
      <c r="F47" s="1607"/>
      <c r="G47" s="2608"/>
    </row>
    <row r="48" spans="1:7" ht="26.25" customHeight="1">
      <c r="A48" s="2105" t="s">
        <v>1684</v>
      </c>
      <c r="B48" s="2614">
        <v>7000</v>
      </c>
      <c r="C48" s="2614">
        <v>77812</v>
      </c>
      <c r="D48" s="2614">
        <v>0</v>
      </c>
      <c r="E48" s="2614">
        <f t="shared" si="0"/>
        <v>84812</v>
      </c>
      <c r="F48" s="1607"/>
      <c r="G48" s="2608"/>
    </row>
    <row r="49" spans="1:7" ht="26.25" customHeight="1">
      <c r="A49" s="2105" t="s">
        <v>241</v>
      </c>
      <c r="B49" s="2614">
        <v>0</v>
      </c>
      <c r="C49" s="2614">
        <v>230</v>
      </c>
      <c r="D49" s="2614">
        <v>0</v>
      </c>
      <c r="E49" s="2614">
        <f t="shared" si="0"/>
        <v>230</v>
      </c>
      <c r="F49" s="1607"/>
      <c r="G49" s="2608"/>
    </row>
    <row r="50" spans="1:7" ht="26.25" customHeight="1">
      <c r="A50" s="2105" t="s">
        <v>1685</v>
      </c>
      <c r="B50" s="2614">
        <v>0</v>
      </c>
      <c r="C50" s="2614">
        <v>1849</v>
      </c>
      <c r="D50" s="2614">
        <v>0</v>
      </c>
      <c r="E50" s="2614">
        <f t="shared" si="0"/>
        <v>1849</v>
      </c>
      <c r="F50" s="1607"/>
      <c r="G50" s="2608"/>
    </row>
    <row r="51" spans="1:7" ht="26.25" customHeight="1">
      <c r="A51" s="2105" t="s">
        <v>242</v>
      </c>
      <c r="B51" s="2614">
        <v>0</v>
      </c>
      <c r="C51" s="2614">
        <v>7756</v>
      </c>
      <c r="D51" s="2614">
        <v>0</v>
      </c>
      <c r="E51" s="2614">
        <f t="shared" si="0"/>
        <v>7756</v>
      </c>
      <c r="F51" s="1607"/>
      <c r="G51" s="2608"/>
    </row>
    <row r="52" spans="1:7" ht="26.25" customHeight="1">
      <c r="A52" s="2105" t="s">
        <v>1324</v>
      </c>
      <c r="B52" s="2614">
        <v>31993</v>
      </c>
      <c r="C52" s="2614">
        <v>0</v>
      </c>
      <c r="D52" s="2614">
        <v>0</v>
      </c>
      <c r="E52" s="2614">
        <f t="shared" si="0"/>
        <v>31993</v>
      </c>
      <c r="F52" s="1607"/>
      <c r="G52" s="2608"/>
    </row>
    <row r="53" spans="1:7" ht="26.25" customHeight="1">
      <c r="A53" s="2105" t="s">
        <v>508</v>
      </c>
      <c r="B53" s="2614">
        <v>150</v>
      </c>
      <c r="C53" s="2614">
        <v>292</v>
      </c>
      <c r="D53" s="2614">
        <v>0</v>
      </c>
      <c r="E53" s="2614">
        <f t="shared" si="0"/>
        <v>442</v>
      </c>
      <c r="F53" s="1607"/>
      <c r="G53" s="2608"/>
    </row>
    <row r="54" spans="1:7" ht="26.25" customHeight="1">
      <c r="A54" s="2105" t="s">
        <v>1686</v>
      </c>
      <c r="B54" s="2614">
        <v>0</v>
      </c>
      <c r="C54" s="2614">
        <v>115</v>
      </c>
      <c r="D54" s="2614">
        <v>0</v>
      </c>
      <c r="E54" s="2614">
        <f t="shared" si="0"/>
        <v>115</v>
      </c>
      <c r="F54" s="1607"/>
      <c r="G54" s="2608"/>
    </row>
    <row r="55" spans="1:7" ht="26.25" customHeight="1">
      <c r="A55" s="2105" t="s">
        <v>1687</v>
      </c>
      <c r="B55" s="2614">
        <v>150</v>
      </c>
      <c r="C55" s="2614">
        <v>3607</v>
      </c>
      <c r="D55" s="2614">
        <v>0</v>
      </c>
      <c r="E55" s="2614">
        <f t="shared" si="0"/>
        <v>3757</v>
      </c>
      <c r="F55" s="1607"/>
      <c r="G55" s="2608"/>
    </row>
    <row r="56" spans="1:7" ht="26.25" customHeight="1">
      <c r="A56" s="2105" t="s">
        <v>1688</v>
      </c>
      <c r="B56" s="2614">
        <v>0</v>
      </c>
      <c r="C56" s="2614">
        <v>700</v>
      </c>
      <c r="D56" s="2614">
        <v>0</v>
      </c>
      <c r="E56" s="2614">
        <f t="shared" si="0"/>
        <v>700</v>
      </c>
      <c r="F56" s="1607"/>
      <c r="G56" s="2608"/>
    </row>
    <row r="57" spans="1:7" ht="26.25" customHeight="1">
      <c r="A57" s="2105" t="s">
        <v>1689</v>
      </c>
      <c r="B57" s="2614">
        <v>22996</v>
      </c>
      <c r="C57" s="2614">
        <v>36660</v>
      </c>
      <c r="D57" s="2614">
        <v>7992</v>
      </c>
      <c r="E57" s="2614">
        <f t="shared" si="0"/>
        <v>67648</v>
      </c>
      <c r="F57" s="1607"/>
      <c r="G57" s="2608"/>
    </row>
    <row r="58" spans="1:7" ht="26.25" customHeight="1">
      <c r="A58" s="2105" t="s">
        <v>1325</v>
      </c>
      <c r="B58" s="2614">
        <v>4090</v>
      </c>
      <c r="C58" s="2614">
        <v>3697</v>
      </c>
      <c r="D58" s="2614">
        <v>50</v>
      </c>
      <c r="E58" s="2614">
        <f t="shared" si="0"/>
        <v>7837</v>
      </c>
      <c r="F58" s="1607"/>
      <c r="G58" s="2608"/>
    </row>
    <row r="59" spans="1:7" ht="26.25" customHeight="1">
      <c r="A59" s="2105" t="s">
        <v>1690</v>
      </c>
      <c r="B59" s="2614">
        <v>46500</v>
      </c>
      <c r="C59" s="2614">
        <v>40460</v>
      </c>
      <c r="D59" s="2614">
        <v>10152</v>
      </c>
      <c r="E59" s="2614">
        <f t="shared" si="0"/>
        <v>97112</v>
      </c>
      <c r="F59" s="1607"/>
      <c r="G59" s="2608"/>
    </row>
    <row r="60" spans="1:7" ht="26.25" customHeight="1">
      <c r="A60" s="2105" t="s">
        <v>1691</v>
      </c>
      <c r="B60" s="2614">
        <v>7500</v>
      </c>
      <c r="C60" s="2614">
        <v>31500</v>
      </c>
      <c r="D60" s="2614">
        <v>0</v>
      </c>
      <c r="E60" s="2614">
        <f t="shared" si="0"/>
        <v>39000</v>
      </c>
      <c r="F60" s="1607"/>
      <c r="G60" s="2608"/>
    </row>
    <row r="61" spans="1:7" ht="26.25" customHeight="1">
      <c r="A61" s="2105" t="s">
        <v>1692</v>
      </c>
      <c r="B61" s="2614">
        <v>0</v>
      </c>
      <c r="C61" s="2614">
        <v>2500</v>
      </c>
      <c r="D61" s="2614">
        <v>0</v>
      </c>
      <c r="E61" s="2614">
        <f t="shared" si="0"/>
        <v>2500</v>
      </c>
      <c r="F61" s="1607"/>
      <c r="G61" s="2608"/>
    </row>
    <row r="62" spans="1:7" ht="26.25" customHeight="1">
      <c r="A62" s="2105" t="s">
        <v>1693</v>
      </c>
      <c r="B62" s="2614">
        <v>545</v>
      </c>
      <c r="C62" s="2614">
        <v>1609</v>
      </c>
      <c r="D62" s="2614">
        <v>0</v>
      </c>
      <c r="E62" s="2614">
        <f t="shared" si="0"/>
        <v>2154</v>
      </c>
      <c r="F62" s="1607"/>
      <c r="G62" s="2608"/>
    </row>
    <row r="63" spans="1:7" ht="26.25" customHeight="1">
      <c r="A63" s="2105" t="s">
        <v>1694</v>
      </c>
      <c r="B63" s="2614">
        <v>50</v>
      </c>
      <c r="C63" s="2614">
        <v>232</v>
      </c>
      <c r="D63" s="2614">
        <v>0</v>
      </c>
      <c r="E63" s="2614">
        <f t="shared" si="0"/>
        <v>282</v>
      </c>
      <c r="F63" s="1607"/>
      <c r="G63" s="2608"/>
    </row>
    <row r="64" spans="1:7" ht="26.25" customHeight="1">
      <c r="A64" s="2105" t="s">
        <v>1695</v>
      </c>
      <c r="B64" s="2614">
        <v>0</v>
      </c>
      <c r="C64" s="2614">
        <v>72</v>
      </c>
      <c r="D64" s="2614">
        <v>300</v>
      </c>
      <c r="E64" s="2614">
        <f t="shared" si="0"/>
        <v>372</v>
      </c>
      <c r="F64" s="1607"/>
      <c r="G64" s="2608"/>
    </row>
    <row r="65" spans="1:7" ht="26.25" customHeight="1">
      <c r="A65" s="2105" t="s">
        <v>1696</v>
      </c>
      <c r="B65" s="2614">
        <v>0</v>
      </c>
      <c r="C65" s="2614">
        <v>668</v>
      </c>
      <c r="D65" s="2614">
        <v>0</v>
      </c>
      <c r="E65" s="2614">
        <f t="shared" si="0"/>
        <v>668</v>
      </c>
      <c r="F65" s="1607"/>
      <c r="G65" s="2608"/>
    </row>
    <row r="66" spans="1:7" ht="26.25" customHeight="1" thickBot="1">
      <c r="A66" s="2389" t="s">
        <v>509</v>
      </c>
      <c r="B66" s="2614">
        <v>22486</v>
      </c>
      <c r="C66" s="2614">
        <v>63361</v>
      </c>
      <c r="D66" s="2614">
        <v>20000</v>
      </c>
      <c r="E66" s="2614">
        <f t="shared" si="0"/>
        <v>105847</v>
      </c>
      <c r="F66" s="1607"/>
      <c r="G66" s="2608"/>
    </row>
    <row r="67" spans="1:7" ht="26.25" customHeight="1">
      <c r="A67" s="2608"/>
      <c r="B67" s="462"/>
      <c r="C67" s="462"/>
      <c r="D67" s="2380"/>
      <c r="E67" s="462"/>
      <c r="F67" s="1607"/>
      <c r="G67" s="2608"/>
    </row>
    <row r="68" spans="1:7" ht="33" customHeight="1" thickBot="1">
      <c r="A68" s="2104" t="s">
        <v>1642</v>
      </c>
      <c r="B68" s="1985"/>
      <c r="C68" s="1985"/>
      <c r="D68" s="1985"/>
      <c r="E68" s="1928" t="s">
        <v>1207</v>
      </c>
      <c r="F68" s="1607"/>
      <c r="G68" s="2608"/>
    </row>
    <row r="69" spans="1:7" ht="48" customHeight="1">
      <c r="A69" s="2609" t="s">
        <v>1057</v>
      </c>
      <c r="B69" s="2609" t="s">
        <v>585</v>
      </c>
      <c r="C69" s="2609" t="s">
        <v>1058</v>
      </c>
      <c r="D69" s="2609" t="s">
        <v>686</v>
      </c>
      <c r="E69" s="2609" t="s">
        <v>472</v>
      </c>
      <c r="F69" s="1607"/>
      <c r="G69" s="2608"/>
    </row>
    <row r="70" spans="1:5" ht="48" customHeight="1">
      <c r="A70" s="2610" t="s">
        <v>1061</v>
      </c>
      <c r="B70" s="2610" t="s">
        <v>1125</v>
      </c>
      <c r="C70" s="2610" t="s">
        <v>1126</v>
      </c>
      <c r="D70" s="2610" t="s">
        <v>1127</v>
      </c>
      <c r="E70" s="2611" t="s">
        <v>480</v>
      </c>
    </row>
    <row r="71" spans="1:5" ht="30" customHeight="1">
      <c r="A71" s="2105" t="s">
        <v>246</v>
      </c>
      <c r="B71" s="2615">
        <v>50</v>
      </c>
      <c r="C71" s="2621" t="s">
        <v>464</v>
      </c>
      <c r="D71" s="2621" t="s">
        <v>464</v>
      </c>
      <c r="E71" s="2616">
        <f>SUM(B71:D71)</f>
        <v>50</v>
      </c>
    </row>
    <row r="72" spans="1:5" ht="30" customHeight="1">
      <c r="A72" s="2617" t="s">
        <v>510</v>
      </c>
      <c r="B72" s="2615">
        <v>4780</v>
      </c>
      <c r="C72" s="2621" t="s">
        <v>464</v>
      </c>
      <c r="D72" s="2621" t="s">
        <v>464</v>
      </c>
      <c r="E72" s="2616">
        <f>SUM(B72:D72)</f>
        <v>4780</v>
      </c>
    </row>
    <row r="73" spans="1:5" ht="30" customHeight="1">
      <c r="A73" s="2617" t="s">
        <v>247</v>
      </c>
      <c r="B73" s="2615">
        <v>3300</v>
      </c>
      <c r="C73" s="2621" t="s">
        <v>464</v>
      </c>
      <c r="D73" s="2621" t="s">
        <v>464</v>
      </c>
      <c r="E73" s="433">
        <f aca="true" t="shared" si="1" ref="E73:E103">SUM(B73:D73)</f>
        <v>3300</v>
      </c>
    </row>
    <row r="74" spans="1:5" ht="30" customHeight="1">
      <c r="A74" s="2617" t="s">
        <v>354</v>
      </c>
      <c r="B74" s="2615">
        <v>1200</v>
      </c>
      <c r="C74" s="2621" t="s">
        <v>464</v>
      </c>
      <c r="D74" s="2621" t="s">
        <v>464</v>
      </c>
      <c r="E74" s="433">
        <f t="shared" si="1"/>
        <v>1200</v>
      </c>
    </row>
    <row r="75" spans="1:5" ht="30" customHeight="1">
      <c r="A75" s="2617" t="s">
        <v>1562</v>
      </c>
      <c r="B75" s="2615">
        <v>2530</v>
      </c>
      <c r="C75" s="2621" t="s">
        <v>464</v>
      </c>
      <c r="D75" s="2621" t="s">
        <v>464</v>
      </c>
      <c r="E75" s="433">
        <f t="shared" si="1"/>
        <v>2530</v>
      </c>
    </row>
    <row r="76" spans="1:5" ht="30" customHeight="1">
      <c r="A76" s="2617" t="s">
        <v>355</v>
      </c>
      <c r="B76" s="2615">
        <v>177070</v>
      </c>
      <c r="C76" s="2621" t="s">
        <v>464</v>
      </c>
      <c r="D76" s="2621" t="s">
        <v>464</v>
      </c>
      <c r="E76" s="433">
        <f t="shared" si="1"/>
        <v>177070</v>
      </c>
    </row>
    <row r="77" spans="1:5" ht="30" customHeight="1">
      <c r="A77" s="2617" t="s">
        <v>356</v>
      </c>
      <c r="B77" s="2615">
        <v>34153</v>
      </c>
      <c r="C77" s="2621" t="s">
        <v>464</v>
      </c>
      <c r="D77" s="2621" t="s">
        <v>464</v>
      </c>
      <c r="E77" s="433">
        <f t="shared" si="1"/>
        <v>34153</v>
      </c>
    </row>
    <row r="78" spans="1:5" ht="30" customHeight="1">
      <c r="A78" s="2617" t="s">
        <v>511</v>
      </c>
      <c r="B78" s="2621" t="s">
        <v>464</v>
      </c>
      <c r="C78" s="2615">
        <v>63491</v>
      </c>
      <c r="D78" s="2615">
        <v>95273</v>
      </c>
      <c r="E78" s="433">
        <f t="shared" si="1"/>
        <v>158764</v>
      </c>
    </row>
    <row r="79" spans="1:5" ht="30" customHeight="1">
      <c r="A79" s="2617" t="s">
        <v>357</v>
      </c>
      <c r="B79" s="2615">
        <v>4790</v>
      </c>
      <c r="C79" s="2621" t="s">
        <v>464</v>
      </c>
      <c r="D79" s="2621" t="s">
        <v>464</v>
      </c>
      <c r="E79" s="433">
        <f t="shared" si="1"/>
        <v>4790</v>
      </c>
    </row>
    <row r="80" spans="1:5" ht="30" customHeight="1">
      <c r="A80" s="2617" t="s">
        <v>358</v>
      </c>
      <c r="B80" s="2615">
        <v>47880</v>
      </c>
      <c r="C80" s="2621" t="s">
        <v>464</v>
      </c>
      <c r="D80" s="2621" t="s">
        <v>464</v>
      </c>
      <c r="E80" s="433">
        <f t="shared" si="1"/>
        <v>47880</v>
      </c>
    </row>
    <row r="81" spans="1:5" ht="30" customHeight="1">
      <c r="A81" s="2617" t="s">
        <v>359</v>
      </c>
      <c r="B81" s="2615">
        <v>106285</v>
      </c>
      <c r="C81" s="2615">
        <v>8150</v>
      </c>
      <c r="D81" s="2621" t="s">
        <v>464</v>
      </c>
      <c r="E81" s="433">
        <f t="shared" si="1"/>
        <v>114435</v>
      </c>
    </row>
    <row r="82" spans="1:5" ht="30" customHeight="1">
      <c r="A82" s="2617" t="s">
        <v>360</v>
      </c>
      <c r="B82" s="2615">
        <v>1144500</v>
      </c>
      <c r="C82" s="2621" t="s">
        <v>464</v>
      </c>
      <c r="D82" s="2621" t="s">
        <v>464</v>
      </c>
      <c r="E82" s="433">
        <f t="shared" si="1"/>
        <v>1144500</v>
      </c>
    </row>
    <row r="83" spans="1:5" ht="30" customHeight="1">
      <c r="A83" s="2617" t="s">
        <v>361</v>
      </c>
      <c r="B83" s="2615">
        <v>4650</v>
      </c>
      <c r="C83" s="2621" t="s">
        <v>464</v>
      </c>
      <c r="D83" s="2621" t="s">
        <v>464</v>
      </c>
      <c r="E83" s="433">
        <f t="shared" si="1"/>
        <v>4650</v>
      </c>
    </row>
    <row r="84" spans="1:5" ht="30" customHeight="1">
      <c r="A84" s="2617" t="s">
        <v>362</v>
      </c>
      <c r="B84" s="2615">
        <v>17774</v>
      </c>
      <c r="C84" s="2621" t="s">
        <v>464</v>
      </c>
      <c r="D84" s="2621" t="s">
        <v>464</v>
      </c>
      <c r="E84" s="433">
        <f t="shared" si="1"/>
        <v>17774</v>
      </c>
    </row>
    <row r="85" spans="1:5" ht="30" customHeight="1">
      <c r="A85" s="2617" t="s">
        <v>363</v>
      </c>
      <c r="B85" s="2615">
        <v>55285</v>
      </c>
      <c r="C85" s="2621" t="s">
        <v>464</v>
      </c>
      <c r="D85" s="2621" t="s">
        <v>464</v>
      </c>
      <c r="E85" s="433">
        <f t="shared" si="1"/>
        <v>55285</v>
      </c>
    </row>
    <row r="86" spans="1:5" ht="30" customHeight="1">
      <c r="A86" s="2617" t="s">
        <v>1697</v>
      </c>
      <c r="B86" s="2615">
        <v>480</v>
      </c>
      <c r="C86" s="2621" t="s">
        <v>464</v>
      </c>
      <c r="D86" s="2621" t="s">
        <v>464</v>
      </c>
      <c r="E86" s="433">
        <f t="shared" si="1"/>
        <v>480</v>
      </c>
    </row>
    <row r="87" spans="1:5" ht="30" customHeight="1">
      <c r="A87" s="2617" t="s">
        <v>364</v>
      </c>
      <c r="B87" s="2615">
        <v>107</v>
      </c>
      <c r="C87" s="2621" t="s">
        <v>464</v>
      </c>
      <c r="D87" s="2621" t="s">
        <v>464</v>
      </c>
      <c r="E87" s="433">
        <f t="shared" si="1"/>
        <v>107</v>
      </c>
    </row>
    <row r="88" spans="1:5" ht="30" customHeight="1">
      <c r="A88" s="2617" t="s">
        <v>365</v>
      </c>
      <c r="B88" s="2615">
        <v>25800</v>
      </c>
      <c r="C88" s="2621" t="s">
        <v>464</v>
      </c>
      <c r="D88" s="2621" t="s">
        <v>464</v>
      </c>
      <c r="E88" s="433">
        <f t="shared" si="1"/>
        <v>25800</v>
      </c>
    </row>
    <row r="89" spans="1:5" ht="30" customHeight="1">
      <c r="A89" s="2617" t="s">
        <v>366</v>
      </c>
      <c r="B89" s="2615">
        <v>3910</v>
      </c>
      <c r="C89" s="2621" t="s">
        <v>464</v>
      </c>
      <c r="D89" s="2621" t="s">
        <v>464</v>
      </c>
      <c r="E89" s="433">
        <f t="shared" si="1"/>
        <v>3910</v>
      </c>
    </row>
    <row r="90" spans="1:5" ht="30" customHeight="1">
      <c r="A90" s="2617" t="s">
        <v>367</v>
      </c>
      <c r="B90" s="2615">
        <v>18858</v>
      </c>
      <c r="C90" s="2621" t="s">
        <v>464</v>
      </c>
      <c r="D90" s="2621" t="s">
        <v>464</v>
      </c>
      <c r="E90" s="433">
        <f t="shared" si="1"/>
        <v>18858</v>
      </c>
    </row>
    <row r="91" spans="1:5" ht="30" customHeight="1">
      <c r="A91" s="2617" t="s">
        <v>1321</v>
      </c>
      <c r="B91" s="2615">
        <v>2180</v>
      </c>
      <c r="C91" s="2621" t="s">
        <v>464</v>
      </c>
      <c r="D91" s="2621" t="s">
        <v>464</v>
      </c>
      <c r="E91" s="433">
        <f t="shared" si="1"/>
        <v>2180</v>
      </c>
    </row>
    <row r="92" spans="1:5" ht="30" customHeight="1">
      <c r="A92" s="2617" t="s">
        <v>368</v>
      </c>
      <c r="B92" s="2615">
        <v>17245</v>
      </c>
      <c r="C92" s="2621" t="s">
        <v>464</v>
      </c>
      <c r="D92" s="2615">
        <v>1200</v>
      </c>
      <c r="E92" s="433">
        <f t="shared" si="1"/>
        <v>18445</v>
      </c>
    </row>
    <row r="93" spans="1:5" ht="30" customHeight="1">
      <c r="A93" s="2617" t="s">
        <v>248</v>
      </c>
      <c r="B93" s="2615">
        <v>9120</v>
      </c>
      <c r="C93" s="2621" t="s">
        <v>464</v>
      </c>
      <c r="D93" s="2621" t="s">
        <v>464</v>
      </c>
      <c r="E93" s="433">
        <f t="shared" si="1"/>
        <v>9120</v>
      </c>
    </row>
    <row r="94" spans="1:5" ht="30" customHeight="1">
      <c r="A94" s="2617" t="s">
        <v>249</v>
      </c>
      <c r="B94" s="2621" t="s">
        <v>464</v>
      </c>
      <c r="C94" s="2615">
        <v>205</v>
      </c>
      <c r="D94" s="2621" t="s">
        <v>464</v>
      </c>
      <c r="E94" s="433">
        <f t="shared" si="1"/>
        <v>205</v>
      </c>
    </row>
    <row r="95" spans="1:5" ht="30" customHeight="1">
      <c r="A95" s="2617" t="s">
        <v>1322</v>
      </c>
      <c r="B95" s="2621" t="s">
        <v>464</v>
      </c>
      <c r="C95" s="2615">
        <v>9444</v>
      </c>
      <c r="D95" s="2621" t="s">
        <v>464</v>
      </c>
      <c r="E95" s="433">
        <f t="shared" si="1"/>
        <v>9444</v>
      </c>
    </row>
    <row r="96" spans="1:5" ht="30" customHeight="1">
      <c r="A96" s="2617" t="s">
        <v>1698</v>
      </c>
      <c r="B96" s="2621" t="s">
        <v>464</v>
      </c>
      <c r="C96" s="2615">
        <v>250389</v>
      </c>
      <c r="D96" s="2621" t="s">
        <v>464</v>
      </c>
      <c r="E96" s="433">
        <f t="shared" si="1"/>
        <v>250389</v>
      </c>
    </row>
    <row r="97" spans="1:5" ht="30" customHeight="1">
      <c r="A97" s="2617" t="s">
        <v>512</v>
      </c>
      <c r="B97" s="2615">
        <v>113510</v>
      </c>
      <c r="C97" s="2621" t="s">
        <v>464</v>
      </c>
      <c r="D97" s="2615">
        <v>46426</v>
      </c>
      <c r="E97" s="433">
        <f t="shared" si="1"/>
        <v>159936</v>
      </c>
    </row>
    <row r="98" spans="1:5" ht="30" customHeight="1">
      <c r="A98" s="2617" t="s">
        <v>1323</v>
      </c>
      <c r="B98" s="2615">
        <v>2623</v>
      </c>
      <c r="C98" s="2621" t="s">
        <v>464</v>
      </c>
      <c r="D98" s="2621" t="s">
        <v>464</v>
      </c>
      <c r="E98" s="433">
        <f t="shared" si="1"/>
        <v>2623</v>
      </c>
    </row>
    <row r="99" spans="1:5" ht="30" customHeight="1">
      <c r="A99" s="2617" t="s">
        <v>1211</v>
      </c>
      <c r="B99" s="2621" t="s">
        <v>464</v>
      </c>
      <c r="C99" s="2615">
        <v>182160</v>
      </c>
      <c r="D99" s="2615">
        <v>64708</v>
      </c>
      <c r="E99" s="433">
        <f t="shared" si="1"/>
        <v>246868</v>
      </c>
    </row>
    <row r="100" spans="1:5" ht="30" customHeight="1">
      <c r="A100" s="2617" t="s">
        <v>1323</v>
      </c>
      <c r="B100" s="2615">
        <v>2311</v>
      </c>
      <c r="C100" s="2621" t="s">
        <v>464</v>
      </c>
      <c r="D100" s="2621" t="s">
        <v>464</v>
      </c>
      <c r="E100" s="433">
        <f t="shared" si="1"/>
        <v>2311</v>
      </c>
    </row>
    <row r="101" spans="1:5" ht="30" customHeight="1">
      <c r="A101" s="2617" t="s">
        <v>1174</v>
      </c>
      <c r="B101" s="2615">
        <v>2100</v>
      </c>
      <c r="C101" s="2621" t="s">
        <v>464</v>
      </c>
      <c r="D101" s="2621" t="s">
        <v>464</v>
      </c>
      <c r="E101" s="433">
        <f t="shared" si="1"/>
        <v>2100</v>
      </c>
    </row>
    <row r="102" spans="1:5" ht="30" customHeight="1">
      <c r="A102" s="2617" t="s">
        <v>1175</v>
      </c>
      <c r="B102" s="2615">
        <v>53825</v>
      </c>
      <c r="C102" s="2621" t="s">
        <v>464</v>
      </c>
      <c r="D102" s="2621" t="s">
        <v>464</v>
      </c>
      <c r="E102" s="433">
        <f t="shared" si="1"/>
        <v>53825</v>
      </c>
    </row>
    <row r="103" spans="1:5" ht="30" customHeight="1" thickBot="1">
      <c r="A103" s="2618" t="s">
        <v>250</v>
      </c>
      <c r="B103" s="2622" t="s">
        <v>464</v>
      </c>
      <c r="C103" s="2622" t="s">
        <v>464</v>
      </c>
      <c r="D103" s="2619">
        <v>345</v>
      </c>
      <c r="E103" s="2620">
        <f t="shared" si="1"/>
        <v>345</v>
      </c>
    </row>
    <row r="104" ht="18" customHeight="1"/>
    <row r="105" ht="18" customHeight="1"/>
    <row r="106" ht="18" customHeight="1" hidden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sheetProtection/>
  <printOptions horizontalCentered="1"/>
  <pageMargins left="0.35" right="0.5905511811023623" top="0.62" bottom="0.7874015748031497" header="0.83" footer="0.5118110236220472"/>
  <pageSetup horizontalDpi="300" verticalDpi="300" orientation="portrait" paperSize="9" scale="3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85"/>
  <sheetViews>
    <sheetView zoomScale="60" zoomScaleNormal="60" zoomScalePageLayoutView="0" workbookViewId="0" topLeftCell="A1">
      <selection activeCell="E3" sqref="E3:E4"/>
    </sheetView>
  </sheetViews>
  <sheetFormatPr defaultColWidth="9.140625" defaultRowHeight="12.75"/>
  <cols>
    <col min="1" max="1" width="51.8515625" style="1129" customWidth="1"/>
    <col min="2" max="2" width="25.140625" style="221" customWidth="1"/>
    <col min="3" max="3" width="1.7109375" style="1129" customWidth="1"/>
    <col min="4" max="4" width="43.421875" style="1129" customWidth="1"/>
    <col min="5" max="5" width="25.140625" style="221" customWidth="1"/>
    <col min="6" max="6" width="1.7109375" style="155" customWidth="1"/>
    <col min="7" max="7" width="28.00390625" style="155" customWidth="1"/>
    <col min="8" max="8" width="13.7109375" style="163" customWidth="1"/>
    <col min="9" max="16384" width="9.140625" style="155" customWidth="1"/>
  </cols>
  <sheetData>
    <row r="1" spans="1:8" ht="24" customHeight="1">
      <c r="A1" s="1590" t="s">
        <v>1643</v>
      </c>
      <c r="C1" s="1591"/>
      <c r="D1" s="1591"/>
      <c r="H1" s="155"/>
    </row>
    <row r="2" spans="1:8" ht="24" customHeight="1" thickBot="1">
      <c r="A2" s="1590"/>
      <c r="C2" s="1591"/>
      <c r="D2" s="1591"/>
      <c r="E2" s="1478" t="s">
        <v>936</v>
      </c>
      <c r="H2" s="155"/>
    </row>
    <row r="3" spans="1:8" ht="24" customHeight="1">
      <c r="A3" s="1592" t="s">
        <v>1212</v>
      </c>
      <c r="B3" s="223" t="s">
        <v>472</v>
      </c>
      <c r="C3" s="226"/>
      <c r="D3" s="1592" t="s">
        <v>1212</v>
      </c>
      <c r="E3" s="223" t="s">
        <v>472</v>
      </c>
      <c r="H3" s="155"/>
    </row>
    <row r="4" spans="1:8" ht="24" customHeight="1" thickBot="1">
      <c r="A4" s="2390" t="s">
        <v>1213</v>
      </c>
      <c r="B4" s="639" t="s">
        <v>480</v>
      </c>
      <c r="C4" s="2391"/>
      <c r="D4" s="2390" t="s">
        <v>1213</v>
      </c>
      <c r="E4" s="639" t="s">
        <v>480</v>
      </c>
      <c r="H4" s="155"/>
    </row>
    <row r="5" spans="1:8" ht="23.25" customHeight="1">
      <c r="A5" s="2597" t="s">
        <v>251</v>
      </c>
      <c r="B5" s="2598">
        <v>500</v>
      </c>
      <c r="C5" s="1284"/>
      <c r="D5" s="2597" t="s">
        <v>302</v>
      </c>
      <c r="E5" s="2598">
        <v>1820</v>
      </c>
      <c r="H5" s="155"/>
    </row>
    <row r="6" spans="1:8" ht="23.25" customHeight="1">
      <c r="A6" s="2597" t="s">
        <v>1699</v>
      </c>
      <c r="B6" s="2598">
        <v>442</v>
      </c>
      <c r="C6" s="1292"/>
      <c r="D6" s="2597" t="s">
        <v>303</v>
      </c>
      <c r="E6" s="2598">
        <v>1000</v>
      </c>
      <c r="H6" s="155"/>
    </row>
    <row r="7" spans="1:8" ht="23.25" customHeight="1">
      <c r="A7" s="2597" t="s">
        <v>1254</v>
      </c>
      <c r="B7" s="2598">
        <v>520</v>
      </c>
      <c r="C7" s="1292"/>
      <c r="D7" s="2597" t="s">
        <v>304</v>
      </c>
      <c r="E7" s="2598">
        <v>500</v>
      </c>
      <c r="H7" s="155"/>
    </row>
    <row r="8" spans="1:8" ht="23.25" customHeight="1">
      <c r="A8" s="2597" t="s">
        <v>1564</v>
      </c>
      <c r="B8" s="2598">
        <v>2160</v>
      </c>
      <c r="C8" s="1292"/>
      <c r="D8" s="2597" t="s">
        <v>305</v>
      </c>
      <c r="E8" s="2598">
        <v>24000</v>
      </c>
      <c r="H8" s="155"/>
    </row>
    <row r="9" spans="1:8" ht="23.25" customHeight="1">
      <c r="A9" s="2597" t="s">
        <v>1308</v>
      </c>
      <c r="B9" s="2598">
        <v>2250</v>
      </c>
      <c r="C9" s="1292"/>
      <c r="D9" s="2597" t="s">
        <v>306</v>
      </c>
      <c r="E9" s="2598">
        <v>76</v>
      </c>
      <c r="H9" s="155"/>
    </row>
    <row r="10" spans="1:8" ht="23.25" customHeight="1">
      <c r="A10" s="2597" t="s">
        <v>252</v>
      </c>
      <c r="B10" s="2598">
        <v>300</v>
      </c>
      <c r="C10" s="1292"/>
      <c r="D10" s="2597" t="s">
        <v>307</v>
      </c>
      <c r="E10" s="2598">
        <v>500</v>
      </c>
      <c r="H10" s="155"/>
    </row>
    <row r="11" spans="1:8" ht="23.25" customHeight="1">
      <c r="A11" s="2597" t="s">
        <v>253</v>
      </c>
      <c r="B11" s="2598">
        <v>3500</v>
      </c>
      <c r="C11" s="1292"/>
      <c r="D11" s="2597" t="s">
        <v>308</v>
      </c>
      <c r="E11" s="2598">
        <v>600</v>
      </c>
      <c r="H11" s="155"/>
    </row>
    <row r="12" spans="1:8" ht="23.25" customHeight="1">
      <c r="A12" s="2597" t="s">
        <v>1309</v>
      </c>
      <c r="B12" s="2598">
        <v>2710000</v>
      </c>
      <c r="C12" s="1292"/>
      <c r="D12" s="2597" t="s">
        <v>309</v>
      </c>
      <c r="E12" s="2598">
        <v>120</v>
      </c>
      <c r="G12" s="177"/>
      <c r="H12" s="155"/>
    </row>
    <row r="13" spans="1:8" ht="23.25" customHeight="1">
      <c r="A13" s="2597" t="s">
        <v>1265</v>
      </c>
      <c r="B13" s="2598">
        <v>720000</v>
      </c>
      <c r="C13" s="1292"/>
      <c r="D13" s="2597" t="s">
        <v>310</v>
      </c>
      <c r="E13" s="2598">
        <v>672</v>
      </c>
      <c r="H13" s="155"/>
    </row>
    <row r="14" spans="1:8" ht="23.25" customHeight="1">
      <c r="A14" s="2597" t="s">
        <v>254</v>
      </c>
      <c r="B14" s="2598">
        <v>15000</v>
      </c>
      <c r="C14" s="1292"/>
      <c r="D14" s="2597" t="s">
        <v>311</v>
      </c>
      <c r="E14" s="2598">
        <v>192</v>
      </c>
      <c r="H14" s="155"/>
    </row>
    <row r="15" spans="1:8" ht="23.25" customHeight="1">
      <c r="A15" s="2597" t="s">
        <v>255</v>
      </c>
      <c r="B15" s="2598">
        <v>29000</v>
      </c>
      <c r="C15" s="1292"/>
      <c r="D15" s="2597" t="s">
        <v>312</v>
      </c>
      <c r="E15" s="2598">
        <v>160</v>
      </c>
      <c r="H15" s="155"/>
    </row>
    <row r="16" spans="1:8" ht="23.25" customHeight="1">
      <c r="A16" s="2597" t="s">
        <v>256</v>
      </c>
      <c r="B16" s="2598">
        <v>6000</v>
      </c>
      <c r="C16" s="1292"/>
      <c r="D16" s="2597" t="s">
        <v>313</v>
      </c>
      <c r="E16" s="2598">
        <v>200</v>
      </c>
      <c r="H16" s="155"/>
    </row>
    <row r="17" spans="1:8" ht="23.25" customHeight="1">
      <c r="A17" s="2597" t="s">
        <v>257</v>
      </c>
      <c r="B17" s="2598">
        <v>37000</v>
      </c>
      <c r="C17" s="1292"/>
      <c r="D17" s="2597" t="s">
        <v>314</v>
      </c>
      <c r="E17" s="2598">
        <v>47800</v>
      </c>
      <c r="H17" s="155"/>
    </row>
    <row r="18" spans="1:8" ht="23.25" customHeight="1">
      <c r="A18" s="2597" t="s">
        <v>258</v>
      </c>
      <c r="B18" s="2598">
        <v>2000</v>
      </c>
      <c r="C18" s="1292"/>
      <c r="D18" s="2597" t="s">
        <v>1313</v>
      </c>
      <c r="E18" s="2598">
        <v>12000</v>
      </c>
      <c r="H18" s="155"/>
    </row>
    <row r="19" spans="1:8" ht="23.25" customHeight="1">
      <c r="A19" s="2597" t="s">
        <v>1700</v>
      </c>
      <c r="B19" s="2598">
        <v>960</v>
      </c>
      <c r="C19" s="1292"/>
      <c r="D19" s="2597" t="s">
        <v>315</v>
      </c>
      <c r="E19" s="2598">
        <v>1050</v>
      </c>
      <c r="H19" s="155"/>
    </row>
    <row r="20" spans="1:8" ht="23.25" customHeight="1">
      <c r="A20" s="2597" t="s">
        <v>259</v>
      </c>
      <c r="B20" s="2598">
        <v>5000</v>
      </c>
      <c r="C20" s="1292"/>
      <c r="D20" s="2597" t="s">
        <v>1256</v>
      </c>
      <c r="E20" s="2598">
        <v>24000</v>
      </c>
      <c r="H20" s="155"/>
    </row>
    <row r="21" spans="1:8" ht="23.25" customHeight="1">
      <c r="A21" s="2597" t="s">
        <v>260</v>
      </c>
      <c r="B21" s="2598">
        <v>100</v>
      </c>
      <c r="C21" s="1292"/>
      <c r="D21" s="2597" t="s">
        <v>1314</v>
      </c>
      <c r="E21" s="2598">
        <v>400</v>
      </c>
      <c r="H21" s="155"/>
    </row>
    <row r="22" spans="1:8" ht="23.25" customHeight="1">
      <c r="A22" s="2597" t="s">
        <v>1701</v>
      </c>
      <c r="B22" s="2598">
        <v>960</v>
      </c>
      <c r="C22" s="1292"/>
      <c r="D22" s="2597" t="s">
        <v>1315</v>
      </c>
      <c r="E22" s="2598">
        <v>1131000</v>
      </c>
      <c r="H22" s="155"/>
    </row>
    <row r="23" spans="1:8" ht="23.25" customHeight="1">
      <c r="A23" s="2597" t="s">
        <v>261</v>
      </c>
      <c r="B23" s="2598">
        <v>100</v>
      </c>
      <c r="C23" s="1292"/>
      <c r="D23" s="2597" t="s">
        <v>316</v>
      </c>
      <c r="E23" s="2598">
        <v>600</v>
      </c>
      <c r="H23" s="155"/>
    </row>
    <row r="24" spans="1:8" ht="23.25" customHeight="1">
      <c r="A24" s="2597" t="s">
        <v>1566</v>
      </c>
      <c r="B24" s="2598">
        <v>221</v>
      </c>
      <c r="C24" s="1292"/>
      <c r="D24" s="2597" t="s">
        <v>1716</v>
      </c>
      <c r="E24" s="2598">
        <v>10450</v>
      </c>
      <c r="H24" s="155"/>
    </row>
    <row r="25" spans="1:8" ht="23.25" customHeight="1">
      <c r="A25" s="2597" t="s">
        <v>262</v>
      </c>
      <c r="B25" s="2598">
        <v>2625</v>
      </c>
      <c r="C25" s="1292"/>
      <c r="D25" s="2597" t="s">
        <v>1563</v>
      </c>
      <c r="E25" s="2598">
        <v>6083000</v>
      </c>
      <c r="H25" s="155"/>
    </row>
    <row r="26" spans="1:8" ht="23.25" customHeight="1">
      <c r="A26" s="2597" t="s">
        <v>263</v>
      </c>
      <c r="B26" s="2598">
        <v>3000</v>
      </c>
      <c r="C26" s="1292"/>
      <c r="D26" s="2597" t="s">
        <v>317</v>
      </c>
      <c r="E26" s="2598">
        <v>110</v>
      </c>
      <c r="H26" s="155"/>
    </row>
    <row r="27" spans="1:8" ht="23.25" customHeight="1">
      <c r="A27" s="2597" t="s">
        <v>264</v>
      </c>
      <c r="B27" s="2598">
        <v>200</v>
      </c>
      <c r="C27" s="1292"/>
      <c r="D27" s="2597" t="s">
        <v>1717</v>
      </c>
      <c r="E27" s="2598">
        <v>360</v>
      </c>
      <c r="H27" s="155"/>
    </row>
    <row r="28" spans="1:8" ht="23.25" customHeight="1">
      <c r="A28" s="2597" t="s">
        <v>265</v>
      </c>
      <c r="B28" s="2598">
        <v>24</v>
      </c>
      <c r="C28" s="1292"/>
      <c r="D28" s="2597" t="s">
        <v>1316</v>
      </c>
      <c r="E28" s="2598">
        <v>360</v>
      </c>
      <c r="H28" s="155"/>
    </row>
    <row r="29" spans="1:8" ht="23.25" customHeight="1">
      <c r="A29" s="2597" t="s">
        <v>1702</v>
      </c>
      <c r="B29" s="2598">
        <v>2100</v>
      </c>
      <c r="C29" s="1292"/>
      <c r="D29" s="2597" t="s">
        <v>1317</v>
      </c>
      <c r="E29" s="2598">
        <v>336</v>
      </c>
      <c r="H29" s="155"/>
    </row>
    <row r="30" spans="1:8" ht="23.25" customHeight="1">
      <c r="A30" s="2597" t="s">
        <v>266</v>
      </c>
      <c r="B30" s="2598">
        <v>7700</v>
      </c>
      <c r="C30" s="1292"/>
      <c r="D30" s="2597" t="s">
        <v>1565</v>
      </c>
      <c r="E30" s="2598">
        <v>112</v>
      </c>
      <c r="H30" s="155"/>
    </row>
    <row r="31" spans="1:8" ht="23.25" customHeight="1">
      <c r="A31" s="2597" t="s">
        <v>267</v>
      </c>
      <c r="B31" s="2598">
        <v>500</v>
      </c>
      <c r="C31" s="1292"/>
      <c r="D31" s="2597" t="s">
        <v>438</v>
      </c>
      <c r="E31" s="2598">
        <v>14442</v>
      </c>
      <c r="H31" s="155"/>
    </row>
    <row r="32" spans="1:8" ht="23.25" customHeight="1">
      <c r="A32" s="2597" t="s">
        <v>268</v>
      </c>
      <c r="B32" s="2598">
        <v>84</v>
      </c>
      <c r="C32" s="1292"/>
      <c r="D32" s="2597" t="s">
        <v>318</v>
      </c>
      <c r="E32" s="2598">
        <v>200</v>
      </c>
      <c r="H32" s="155"/>
    </row>
    <row r="33" spans="1:8" ht="23.25" customHeight="1">
      <c r="A33" s="2597" t="s">
        <v>269</v>
      </c>
      <c r="B33" s="2598">
        <v>400</v>
      </c>
      <c r="C33" s="1292"/>
      <c r="D33" s="2597" t="s">
        <v>319</v>
      </c>
      <c r="E33" s="2598">
        <v>300</v>
      </c>
      <c r="H33" s="155"/>
    </row>
    <row r="34" spans="1:8" ht="23.25" customHeight="1">
      <c r="A34" s="2597" t="s">
        <v>270</v>
      </c>
      <c r="B34" s="2598">
        <v>200000</v>
      </c>
      <c r="C34" s="1292"/>
      <c r="D34" s="2597" t="s">
        <v>320</v>
      </c>
      <c r="E34" s="2598">
        <v>3000</v>
      </c>
      <c r="H34" s="155"/>
    </row>
    <row r="35" spans="1:8" ht="23.25" customHeight="1">
      <c r="A35" s="2597" t="s">
        <v>271</v>
      </c>
      <c r="B35" s="2598">
        <v>1500</v>
      </c>
      <c r="C35" s="1292"/>
      <c r="D35" s="2597" t="s">
        <v>321</v>
      </c>
      <c r="E35" s="2598">
        <v>1350</v>
      </c>
      <c r="H35" s="155"/>
    </row>
    <row r="36" spans="1:8" ht="23.25" customHeight="1">
      <c r="A36" s="2597" t="s">
        <v>272</v>
      </c>
      <c r="B36" s="2598">
        <v>5250</v>
      </c>
      <c r="C36" s="1292"/>
      <c r="D36" s="2597" t="s">
        <v>322</v>
      </c>
      <c r="E36" s="2598">
        <v>450</v>
      </c>
      <c r="H36" s="155"/>
    </row>
    <row r="37" spans="1:8" ht="23.25" customHeight="1">
      <c r="A37" s="2597" t="s">
        <v>273</v>
      </c>
      <c r="B37" s="2598">
        <v>400</v>
      </c>
      <c r="C37" s="1292"/>
      <c r="D37" s="2597" t="s">
        <v>1718</v>
      </c>
      <c r="E37" s="2598">
        <v>1000</v>
      </c>
      <c r="H37" s="155"/>
    </row>
    <row r="38" spans="1:8" ht="23.25" customHeight="1">
      <c r="A38" s="2597" t="s">
        <v>1703</v>
      </c>
      <c r="B38" s="2598">
        <v>1050</v>
      </c>
      <c r="C38" s="1292"/>
      <c r="D38" s="2597" t="s">
        <v>1567</v>
      </c>
      <c r="E38" s="2598">
        <v>312</v>
      </c>
      <c r="H38" s="155"/>
    </row>
    <row r="39" spans="1:8" ht="23.25" customHeight="1">
      <c r="A39" s="2597" t="s">
        <v>1310</v>
      </c>
      <c r="B39" s="2598">
        <v>1050</v>
      </c>
      <c r="C39" s="1292"/>
      <c r="D39" s="2597" t="s">
        <v>1568</v>
      </c>
      <c r="E39" s="2598">
        <v>320</v>
      </c>
      <c r="H39" s="155"/>
    </row>
    <row r="40" spans="1:8" ht="23.25" customHeight="1">
      <c r="A40" s="2597" t="s">
        <v>274</v>
      </c>
      <c r="B40" s="2598">
        <v>269</v>
      </c>
      <c r="C40" s="1292"/>
      <c r="D40" s="2597" t="s">
        <v>323</v>
      </c>
      <c r="E40" s="2598">
        <v>15060</v>
      </c>
      <c r="H40" s="155"/>
    </row>
    <row r="41" spans="1:8" ht="23.25" customHeight="1">
      <c r="A41" s="2597" t="s">
        <v>275</v>
      </c>
      <c r="B41" s="2598">
        <v>19950</v>
      </c>
      <c r="C41" s="1292"/>
      <c r="D41" s="2597" t="s">
        <v>324</v>
      </c>
      <c r="E41" s="2598">
        <v>600</v>
      </c>
      <c r="H41" s="155"/>
    </row>
    <row r="42" spans="1:8" ht="23.25" customHeight="1">
      <c r="A42" s="2597" t="s">
        <v>276</v>
      </c>
      <c r="B42" s="2598">
        <v>720</v>
      </c>
      <c r="C42" s="1292"/>
      <c r="D42" s="2597" t="s">
        <v>1257</v>
      </c>
      <c r="E42" s="2598">
        <v>620</v>
      </c>
      <c r="H42" s="155"/>
    </row>
    <row r="43" spans="1:8" ht="23.25" customHeight="1">
      <c r="A43" s="2597" t="s">
        <v>1704</v>
      </c>
      <c r="B43" s="2598">
        <v>720</v>
      </c>
      <c r="C43" s="1292"/>
      <c r="D43" s="2597" t="s">
        <v>325</v>
      </c>
      <c r="E43" s="2598">
        <v>48000</v>
      </c>
      <c r="H43" s="155"/>
    </row>
    <row r="44" spans="1:8" ht="23.25" customHeight="1">
      <c r="A44" s="2597" t="s">
        <v>1705</v>
      </c>
      <c r="B44" s="2598">
        <v>1700</v>
      </c>
      <c r="C44" s="1292"/>
      <c r="D44" s="2597" t="s">
        <v>326</v>
      </c>
      <c r="E44" s="2598">
        <v>12000</v>
      </c>
      <c r="H44" s="155"/>
    </row>
    <row r="45" spans="1:8" ht="23.25" customHeight="1">
      <c r="A45" s="2597" t="s">
        <v>277</v>
      </c>
      <c r="B45" s="2598">
        <v>20</v>
      </c>
      <c r="C45" s="1292"/>
      <c r="D45" s="2597" t="s">
        <v>1318</v>
      </c>
      <c r="E45" s="2598">
        <v>55460</v>
      </c>
      <c r="H45" s="155"/>
    </row>
    <row r="46" spans="1:8" ht="23.25" customHeight="1">
      <c r="A46" s="2597" t="s">
        <v>278</v>
      </c>
      <c r="B46" s="2598">
        <v>7500</v>
      </c>
      <c r="C46" s="1292"/>
      <c r="D46" s="2597" t="s">
        <v>439</v>
      </c>
      <c r="E46" s="2598">
        <v>250</v>
      </c>
      <c r="H46" s="155"/>
    </row>
    <row r="47" spans="1:8" ht="23.25" customHeight="1">
      <c r="A47" s="2597" t="s">
        <v>279</v>
      </c>
      <c r="B47" s="2598">
        <v>60</v>
      </c>
      <c r="C47" s="1292"/>
      <c r="D47" s="2597" t="s">
        <v>327</v>
      </c>
      <c r="E47" s="2598">
        <v>7000</v>
      </c>
      <c r="H47" s="155"/>
    </row>
    <row r="48" spans="1:8" ht="23.25" customHeight="1">
      <c r="A48" s="2597" t="s">
        <v>1706</v>
      </c>
      <c r="B48" s="2598">
        <v>1970</v>
      </c>
      <c r="C48" s="1292"/>
      <c r="D48" s="2597" t="s">
        <v>1215</v>
      </c>
      <c r="E48" s="2598">
        <v>1000</v>
      </c>
      <c r="H48" s="155"/>
    </row>
    <row r="49" spans="1:8" ht="23.25" customHeight="1">
      <c r="A49" s="2597" t="s">
        <v>1707</v>
      </c>
      <c r="B49" s="2598">
        <v>2420</v>
      </c>
      <c r="C49" s="1292"/>
      <c r="D49" s="2597" t="s">
        <v>1719</v>
      </c>
      <c r="E49" s="2598">
        <v>75000</v>
      </c>
      <c r="H49" s="155"/>
    </row>
    <row r="50" spans="1:8" ht="23.25" customHeight="1">
      <c r="A50" s="2597" t="s">
        <v>1708</v>
      </c>
      <c r="B50" s="2598">
        <v>1155</v>
      </c>
      <c r="C50" s="1292"/>
      <c r="D50" s="2597" t="s">
        <v>328</v>
      </c>
      <c r="E50" s="2598">
        <v>147</v>
      </c>
      <c r="H50" s="155"/>
    </row>
    <row r="51" spans="1:8" ht="23.25" customHeight="1">
      <c r="A51" s="2597" t="s">
        <v>280</v>
      </c>
      <c r="B51" s="2598">
        <v>1605</v>
      </c>
      <c r="C51" s="1292"/>
      <c r="D51" s="2597" t="s">
        <v>329</v>
      </c>
      <c r="E51" s="2598">
        <v>1000</v>
      </c>
      <c r="H51" s="155"/>
    </row>
    <row r="52" spans="1:8" ht="23.25" customHeight="1">
      <c r="A52" s="2597" t="s">
        <v>1709</v>
      </c>
      <c r="B52" s="2598">
        <v>180</v>
      </c>
      <c r="C52" s="1292"/>
      <c r="D52" s="2597" t="s">
        <v>330</v>
      </c>
      <c r="E52" s="2598">
        <v>200</v>
      </c>
      <c r="H52" s="155"/>
    </row>
    <row r="53" spans="1:8" ht="23.25" customHeight="1">
      <c r="A53" s="2597" t="s">
        <v>1710</v>
      </c>
      <c r="B53" s="2598">
        <v>140</v>
      </c>
      <c r="C53" s="1292"/>
      <c r="D53" s="2597" t="s">
        <v>331</v>
      </c>
      <c r="E53" s="2598">
        <v>60000</v>
      </c>
      <c r="H53" s="155"/>
    </row>
    <row r="54" spans="1:8" ht="23.25" customHeight="1" thickBot="1">
      <c r="A54" s="2597" t="s">
        <v>1711</v>
      </c>
      <c r="B54" s="2598">
        <v>1510</v>
      </c>
      <c r="C54" s="1293"/>
      <c r="D54" s="2597" t="s">
        <v>1720</v>
      </c>
      <c r="E54" s="2598">
        <v>960</v>
      </c>
      <c r="H54" s="155"/>
    </row>
    <row r="55" spans="1:8" ht="24" customHeight="1">
      <c r="A55" s="2597" t="s">
        <v>281</v>
      </c>
      <c r="B55" s="2598">
        <v>1330</v>
      </c>
      <c r="C55" s="111"/>
      <c r="D55" s="2597" t="s">
        <v>332</v>
      </c>
      <c r="E55" s="2598">
        <v>450</v>
      </c>
      <c r="H55" s="155"/>
    </row>
    <row r="56" spans="1:8" ht="18" customHeight="1">
      <c r="A56" s="2597" t="s">
        <v>282</v>
      </c>
      <c r="B56" s="2598">
        <v>60</v>
      </c>
      <c r="C56" s="1929"/>
      <c r="D56" s="2597" t="s">
        <v>1721</v>
      </c>
      <c r="E56" s="2598">
        <v>840</v>
      </c>
      <c r="H56" s="155"/>
    </row>
    <row r="57" spans="1:8" ht="18" customHeight="1">
      <c r="A57" s="2597" t="s">
        <v>1311</v>
      </c>
      <c r="B57" s="2598">
        <v>3000</v>
      </c>
      <c r="D57" s="2597" t="s">
        <v>1319</v>
      </c>
      <c r="E57" s="2598">
        <v>250</v>
      </c>
      <c r="H57" s="155"/>
    </row>
    <row r="58" spans="1:8" ht="18" customHeight="1">
      <c r="A58" s="2597" t="s">
        <v>1712</v>
      </c>
      <c r="B58" s="2598">
        <v>21600</v>
      </c>
      <c r="D58" s="2597" t="s">
        <v>333</v>
      </c>
      <c r="E58" s="2598">
        <v>450</v>
      </c>
      <c r="H58" s="155"/>
    </row>
    <row r="59" spans="1:8" ht="18" customHeight="1">
      <c r="A59" s="2597" t="s">
        <v>283</v>
      </c>
      <c r="B59" s="2598">
        <v>20000</v>
      </c>
      <c r="D59" s="2597" t="s">
        <v>334</v>
      </c>
      <c r="E59" s="2598">
        <v>650</v>
      </c>
      <c r="H59" s="155"/>
    </row>
    <row r="60" spans="1:8" ht="18" customHeight="1">
      <c r="A60" s="2597" t="s">
        <v>284</v>
      </c>
      <c r="B60" s="2598">
        <v>2250</v>
      </c>
      <c r="D60" s="2597" t="s">
        <v>335</v>
      </c>
      <c r="E60" s="2598">
        <v>450</v>
      </c>
      <c r="H60" s="155"/>
    </row>
    <row r="61" spans="1:8" ht="18" customHeight="1">
      <c r="A61" s="2597" t="s">
        <v>285</v>
      </c>
      <c r="B61" s="2598">
        <v>7320</v>
      </c>
      <c r="D61" s="2597" t="s">
        <v>336</v>
      </c>
      <c r="E61" s="2598">
        <v>10500</v>
      </c>
      <c r="H61" s="155"/>
    </row>
    <row r="62" spans="1:8" ht="23.25">
      <c r="A62" s="2597" t="s">
        <v>286</v>
      </c>
      <c r="B62" s="2598">
        <v>480</v>
      </c>
      <c r="D62" s="2597" t="s">
        <v>337</v>
      </c>
      <c r="E62" s="2598">
        <v>160</v>
      </c>
      <c r="H62" s="155"/>
    </row>
    <row r="63" spans="1:8" ht="23.25">
      <c r="A63" s="2597" t="s">
        <v>287</v>
      </c>
      <c r="B63" s="2598">
        <v>5000</v>
      </c>
      <c r="D63" s="2597" t="s">
        <v>338</v>
      </c>
      <c r="E63" s="2598">
        <v>5000</v>
      </c>
      <c r="H63" s="155"/>
    </row>
    <row r="64" spans="1:8" ht="23.25">
      <c r="A64" s="2597" t="s">
        <v>288</v>
      </c>
      <c r="B64" s="2598">
        <v>240</v>
      </c>
      <c r="D64" s="2597" t="s">
        <v>339</v>
      </c>
      <c r="E64" s="2598">
        <v>440</v>
      </c>
      <c r="H64" s="155"/>
    </row>
    <row r="65" spans="1:8" ht="23.25">
      <c r="A65" s="2597" t="s">
        <v>289</v>
      </c>
      <c r="B65" s="2598">
        <v>908</v>
      </c>
      <c r="D65" s="2597" t="s">
        <v>340</v>
      </c>
      <c r="E65" s="2598">
        <v>520000</v>
      </c>
      <c r="H65" s="155"/>
    </row>
    <row r="66" spans="1:8" ht="23.25">
      <c r="A66" s="2597" t="s">
        <v>290</v>
      </c>
      <c r="B66" s="2598">
        <v>320</v>
      </c>
      <c r="D66" s="2597" t="s">
        <v>341</v>
      </c>
      <c r="E66" s="2598">
        <v>200</v>
      </c>
      <c r="H66" s="155"/>
    </row>
    <row r="67" spans="1:8" ht="23.25">
      <c r="A67" s="2597" t="s">
        <v>291</v>
      </c>
      <c r="B67" s="2598">
        <v>105</v>
      </c>
      <c r="D67" s="2597" t="s">
        <v>342</v>
      </c>
      <c r="E67" s="2598">
        <v>1350</v>
      </c>
      <c r="H67" s="155"/>
    </row>
    <row r="68" spans="1:8" ht="23.25">
      <c r="A68" s="2597" t="s">
        <v>1713</v>
      </c>
      <c r="B68" s="2598">
        <v>5250</v>
      </c>
      <c r="D68" s="2597" t="s">
        <v>1258</v>
      </c>
      <c r="E68" s="2598">
        <v>312</v>
      </c>
      <c r="H68" s="155"/>
    </row>
    <row r="69" spans="1:8" ht="23.25">
      <c r="A69" s="2597" t="s">
        <v>292</v>
      </c>
      <c r="B69" s="2598">
        <v>250</v>
      </c>
      <c r="D69" s="2597" t="s">
        <v>1570</v>
      </c>
      <c r="E69" s="2598">
        <v>240</v>
      </c>
      <c r="H69" s="155"/>
    </row>
    <row r="70" spans="1:8" ht="23.25">
      <c r="A70" s="2597" t="s">
        <v>293</v>
      </c>
      <c r="B70" s="2598">
        <v>250</v>
      </c>
      <c r="D70" s="2597" t="s">
        <v>1571</v>
      </c>
      <c r="E70" s="2598">
        <v>80</v>
      </c>
      <c r="H70" s="155"/>
    </row>
    <row r="71" spans="1:8" ht="23.25">
      <c r="A71" s="2597" t="s">
        <v>294</v>
      </c>
      <c r="B71" s="2598">
        <v>450</v>
      </c>
      <c r="D71" s="2597" t="s">
        <v>343</v>
      </c>
      <c r="E71" s="2598">
        <v>140</v>
      </c>
      <c r="H71" s="155"/>
    </row>
    <row r="72" spans="1:8" ht="23.25">
      <c r="A72" s="2597" t="s">
        <v>295</v>
      </c>
      <c r="B72" s="2598">
        <v>36</v>
      </c>
      <c r="D72" s="2597" t="s">
        <v>1722</v>
      </c>
      <c r="E72" s="2598">
        <v>220</v>
      </c>
      <c r="H72" s="155"/>
    </row>
    <row r="73" spans="1:8" ht="23.25">
      <c r="A73" s="2597" t="s">
        <v>296</v>
      </c>
      <c r="B73" s="2598">
        <v>6300</v>
      </c>
      <c r="D73" s="2597" t="s">
        <v>1320</v>
      </c>
      <c r="E73" s="2598">
        <v>200</v>
      </c>
      <c r="H73" s="155"/>
    </row>
    <row r="74" spans="1:8" ht="23.25">
      <c r="A74" s="2597" t="s">
        <v>436</v>
      </c>
      <c r="B74" s="2598">
        <v>775000</v>
      </c>
      <c r="D74" s="2597" t="s">
        <v>344</v>
      </c>
      <c r="E74" s="2598">
        <v>297</v>
      </c>
      <c r="H74" s="155"/>
    </row>
    <row r="75" spans="1:8" ht="23.25">
      <c r="A75" s="2597" t="s">
        <v>297</v>
      </c>
      <c r="B75" s="2598">
        <v>11389600</v>
      </c>
      <c r="D75" s="2597" t="s">
        <v>345</v>
      </c>
      <c r="E75" s="2598">
        <v>24000</v>
      </c>
      <c r="H75" s="155"/>
    </row>
    <row r="76" spans="1:5" ht="23.25">
      <c r="A76" s="2597" t="s">
        <v>1255</v>
      </c>
      <c r="B76" s="2598">
        <v>50000</v>
      </c>
      <c r="D76" s="2597" t="s">
        <v>346</v>
      </c>
      <c r="E76" s="2598">
        <v>125</v>
      </c>
    </row>
    <row r="77" spans="1:5" ht="23.25">
      <c r="A77" s="2597" t="s">
        <v>1312</v>
      </c>
      <c r="B77" s="2598">
        <v>6360</v>
      </c>
      <c r="D77" s="2597" t="s">
        <v>347</v>
      </c>
      <c r="E77" s="2598">
        <v>210</v>
      </c>
    </row>
    <row r="78" spans="1:5" ht="23.25">
      <c r="A78" s="2597" t="s">
        <v>298</v>
      </c>
      <c r="B78" s="2598">
        <v>800</v>
      </c>
      <c r="D78" s="2597" t="s">
        <v>348</v>
      </c>
      <c r="E78" s="2598">
        <v>200</v>
      </c>
    </row>
    <row r="79" spans="1:5" ht="23.25">
      <c r="A79" s="2597" t="s">
        <v>1569</v>
      </c>
      <c r="B79" s="2598">
        <v>800</v>
      </c>
      <c r="D79" s="2597" t="s">
        <v>349</v>
      </c>
      <c r="E79" s="2598">
        <v>100000</v>
      </c>
    </row>
    <row r="80" spans="1:5" ht="23.25">
      <c r="A80" s="2597" t="s">
        <v>299</v>
      </c>
      <c r="B80" s="2598">
        <v>176000</v>
      </c>
      <c r="D80" s="2597" t="s">
        <v>350</v>
      </c>
      <c r="E80" s="2598">
        <v>420</v>
      </c>
    </row>
    <row r="81" spans="1:5" ht="23.25">
      <c r="A81" s="2597" t="s">
        <v>300</v>
      </c>
      <c r="B81" s="2598">
        <v>300</v>
      </c>
      <c r="D81" s="2597" t="s">
        <v>1176</v>
      </c>
      <c r="E81" s="2598">
        <v>845800</v>
      </c>
    </row>
    <row r="82" spans="1:5" ht="23.25">
      <c r="A82" s="2597" t="s">
        <v>301</v>
      </c>
      <c r="B82" s="2598">
        <v>200</v>
      </c>
      <c r="D82" s="2597" t="s">
        <v>351</v>
      </c>
      <c r="E82" s="2598">
        <v>1640</v>
      </c>
    </row>
    <row r="83" spans="1:5" ht="23.25">
      <c r="A83" s="2597" t="s">
        <v>1714</v>
      </c>
      <c r="B83" s="2598">
        <v>4104</v>
      </c>
      <c r="D83" s="2597" t="s">
        <v>352</v>
      </c>
      <c r="E83" s="2598">
        <v>288</v>
      </c>
    </row>
    <row r="84" spans="1:5" ht="23.25">
      <c r="A84" s="2597" t="s">
        <v>1715</v>
      </c>
      <c r="B84" s="2598">
        <v>129420</v>
      </c>
      <c r="D84" s="2597" t="s">
        <v>353</v>
      </c>
      <c r="E84" s="2598">
        <v>450</v>
      </c>
    </row>
    <row r="85" spans="1:5" ht="23.25">
      <c r="A85" s="2597" t="s">
        <v>437</v>
      </c>
      <c r="B85" s="2598">
        <v>200</v>
      </c>
      <c r="D85" s="2599"/>
      <c r="E85" s="2600"/>
    </row>
  </sheetData>
  <sheetProtection/>
  <printOptions/>
  <pageMargins left="0.984251968503937" right="0.984251968503937" top="0.77" bottom="0.984251968503937" header="0.5118110236220472" footer="0.5118110236220472"/>
  <pageSetup horizontalDpi="300" verticalDpi="300" orientation="portrait" paperSize="9" scale="5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T139"/>
  <sheetViews>
    <sheetView view="pageBreakPreview" zoomScale="44" zoomScaleNormal="50" zoomScaleSheetLayoutView="44" zoomScalePageLayoutView="0" workbookViewId="0" topLeftCell="A1">
      <selection activeCell="E35" sqref="E35"/>
    </sheetView>
  </sheetViews>
  <sheetFormatPr defaultColWidth="9.140625" defaultRowHeight="12.75"/>
  <cols>
    <col min="1" max="1" width="40.28125" style="1591" customWidth="1"/>
    <col min="2" max="2" width="41.421875" style="1591" customWidth="1"/>
    <col min="3" max="3" width="6.7109375" style="1620" customWidth="1"/>
    <col min="4" max="4" width="39.7109375" style="139" customWidth="1"/>
    <col min="5" max="5" width="41.421875" style="139" customWidth="1"/>
    <col min="6" max="6" width="8.421875" style="1620" customWidth="1"/>
    <col min="7" max="7" width="39.7109375" style="139" customWidth="1"/>
    <col min="8" max="8" width="35.7109375" style="0" customWidth="1"/>
    <col min="9" max="9" width="6.28125" style="139" customWidth="1"/>
    <col min="10" max="10" width="47.00390625" style="139" customWidth="1"/>
    <col min="11" max="11" width="35.8515625" style="1599" customWidth="1"/>
    <col min="12" max="14" width="23.8515625" style="1599" customWidth="1"/>
    <col min="15" max="15" width="9.140625" style="139" customWidth="1"/>
    <col min="16" max="16" width="35.8515625" style="1599" customWidth="1"/>
    <col min="17" max="20" width="22.8515625" style="1599" customWidth="1"/>
    <col min="21" max="16384" width="9.140625" style="139" customWidth="1"/>
  </cols>
  <sheetData>
    <row r="1" spans="1:20" s="354" customFormat="1" ht="21.75" customHeight="1">
      <c r="A1" s="2394" t="s">
        <v>1644</v>
      </c>
      <c r="B1" s="2395"/>
      <c r="C1" s="2021"/>
      <c r="D1" s="351"/>
      <c r="E1" s="2025" t="s">
        <v>936</v>
      </c>
      <c r="F1" s="2453"/>
      <c r="G1" s="164" t="s">
        <v>1645</v>
      </c>
      <c r="I1" s="352"/>
      <c r="J1" s="353"/>
      <c r="K1" s="2024" t="s">
        <v>936</v>
      </c>
      <c r="L1" s="1593"/>
      <c r="M1" s="1593"/>
      <c r="N1" s="1594"/>
      <c r="P1" s="1594"/>
      <c r="Q1" s="1594"/>
      <c r="R1" s="1594"/>
      <c r="S1" s="1594"/>
      <c r="T1" s="1594"/>
    </row>
    <row r="2" spans="1:20" ht="10.5" customHeight="1" thickBot="1">
      <c r="A2" s="2394"/>
      <c r="B2" s="2395"/>
      <c r="C2" s="2022"/>
      <c r="D2" s="138"/>
      <c r="E2" s="138"/>
      <c r="F2" s="2454"/>
      <c r="G2" s="138"/>
      <c r="I2" s="140"/>
      <c r="J2" s="165"/>
      <c r="K2" s="1595"/>
      <c r="L2" s="1595"/>
      <c r="M2" s="1595"/>
      <c r="N2" s="1596"/>
      <c r="T2" s="1608"/>
    </row>
    <row r="3" spans="1:20" ht="23.25" customHeight="1">
      <c r="A3" s="2396" t="s">
        <v>1216</v>
      </c>
      <c r="B3" s="223" t="s">
        <v>472</v>
      </c>
      <c r="C3" s="2023"/>
      <c r="D3" s="178" t="s">
        <v>1216</v>
      </c>
      <c r="E3" s="223" t="s">
        <v>472</v>
      </c>
      <c r="F3" s="2023"/>
      <c r="G3" s="178" t="s">
        <v>1216</v>
      </c>
      <c r="H3" s="223" t="s">
        <v>472</v>
      </c>
      <c r="I3" s="1595"/>
      <c r="J3" s="178" t="s">
        <v>1216</v>
      </c>
      <c r="K3" s="223" t="s">
        <v>472</v>
      </c>
      <c r="L3" s="1597"/>
      <c r="M3" s="1597"/>
      <c r="N3" s="1597"/>
      <c r="P3" s="1609"/>
      <c r="Q3" s="1597"/>
      <c r="R3" s="1597"/>
      <c r="S3" s="1597"/>
      <c r="T3" s="1597"/>
    </row>
    <row r="4" spans="1:20" s="179" customFormat="1" ht="23.25" customHeight="1" thickBot="1">
      <c r="A4" s="2460" t="s">
        <v>1217</v>
      </c>
      <c r="B4" s="639" t="s">
        <v>480</v>
      </c>
      <c r="C4" s="1624"/>
      <c r="D4" s="2450" t="s">
        <v>1217</v>
      </c>
      <c r="E4" s="639" t="s">
        <v>480</v>
      </c>
      <c r="F4" s="1624"/>
      <c r="G4" s="2463" t="s">
        <v>1217</v>
      </c>
      <c r="H4" s="639" t="s">
        <v>480</v>
      </c>
      <c r="I4" s="1975"/>
      <c r="J4" s="2450" t="s">
        <v>1217</v>
      </c>
      <c r="K4" s="639" t="s">
        <v>480</v>
      </c>
      <c r="L4" s="1598"/>
      <c r="M4" s="1598"/>
      <c r="N4" s="1598"/>
      <c r="P4" s="1610"/>
      <c r="Q4" s="1598"/>
      <c r="R4" s="1598"/>
      <c r="S4" s="1598"/>
      <c r="T4" s="1598"/>
    </row>
    <row r="5" spans="1:20" ht="22.5" customHeight="1" thickBot="1">
      <c r="A5" s="2466" t="s">
        <v>1266</v>
      </c>
      <c r="B5" s="2470"/>
      <c r="C5" s="1622"/>
      <c r="D5" s="2451" t="s">
        <v>1587</v>
      </c>
      <c r="E5" s="2452"/>
      <c r="F5" s="1622"/>
      <c r="G5" s="2518" t="s">
        <v>1349</v>
      </c>
      <c r="H5" s="2519"/>
      <c r="I5" s="1595"/>
      <c r="J5" s="2385" t="s">
        <v>1381</v>
      </c>
      <c r="K5" s="2520"/>
      <c r="Q5" s="1607"/>
      <c r="S5" s="1607"/>
      <c r="T5" s="1603"/>
    </row>
    <row r="6" spans="1:11" ht="22.5" customHeight="1">
      <c r="A6" s="2458" t="s">
        <v>1723</v>
      </c>
      <c r="B6" s="2459"/>
      <c r="C6" s="1983"/>
      <c r="D6" s="2451" t="s">
        <v>11</v>
      </c>
      <c r="E6" s="2452"/>
      <c r="F6" s="2455"/>
      <c r="G6" s="2385" t="s">
        <v>56</v>
      </c>
      <c r="H6" s="2520"/>
      <c r="I6" s="1595"/>
      <c r="J6" s="2385" t="s">
        <v>101</v>
      </c>
      <c r="K6" s="2520"/>
    </row>
    <row r="7" spans="1:11" ht="22.5" customHeight="1">
      <c r="A7" s="2451" t="s">
        <v>1580</v>
      </c>
      <c r="B7" s="2452"/>
      <c r="C7" s="1983"/>
      <c r="D7" s="2451" t="s">
        <v>12</v>
      </c>
      <c r="E7" s="2452"/>
      <c r="F7" s="2455"/>
      <c r="G7" s="2385" t="s">
        <v>57</v>
      </c>
      <c r="H7" s="2520"/>
      <c r="I7" s="1595"/>
      <c r="J7" s="2385" t="s">
        <v>102</v>
      </c>
      <c r="K7" s="2520"/>
    </row>
    <row r="8" spans="1:11" ht="22.5" customHeight="1">
      <c r="A8" s="2451" t="s">
        <v>1724</v>
      </c>
      <c r="B8" s="2452"/>
      <c r="C8" s="1983"/>
      <c r="D8" s="2451" t="s">
        <v>1351</v>
      </c>
      <c r="E8" s="2452"/>
      <c r="F8" s="2455"/>
      <c r="G8" s="2385" t="s">
        <v>58</v>
      </c>
      <c r="H8" s="2520"/>
      <c r="I8" s="1595"/>
      <c r="J8" s="2385" t="s">
        <v>103</v>
      </c>
      <c r="K8" s="2520"/>
    </row>
    <row r="9" spans="1:11" ht="22.5" customHeight="1">
      <c r="A9" s="2451" t="s">
        <v>1370</v>
      </c>
      <c r="B9" s="2452"/>
      <c r="C9" s="1983"/>
      <c r="D9" s="2451" t="s">
        <v>13</v>
      </c>
      <c r="E9" s="2452"/>
      <c r="F9" s="2455"/>
      <c r="G9" s="2385" t="s">
        <v>59</v>
      </c>
      <c r="H9" s="2520"/>
      <c r="I9" s="1595"/>
      <c r="J9" s="2385" t="s">
        <v>1607</v>
      </c>
      <c r="K9" s="2520"/>
    </row>
    <row r="10" spans="1:11" ht="22.5" customHeight="1" thickBot="1">
      <c r="A10" s="2451" t="s">
        <v>1725</v>
      </c>
      <c r="B10" s="2452"/>
      <c r="C10" s="1983"/>
      <c r="D10" s="2451" t="s">
        <v>14</v>
      </c>
      <c r="E10" s="2452"/>
      <c r="F10" s="2455"/>
      <c r="G10" s="2521" t="s">
        <v>1260</v>
      </c>
      <c r="H10" s="2522"/>
      <c r="I10" s="1595"/>
      <c r="J10" s="2385" t="s">
        <v>104</v>
      </c>
      <c r="K10" s="2520"/>
    </row>
    <row r="11" spans="1:11" ht="22.5" customHeight="1" thickBot="1">
      <c r="A11" s="2451" t="s">
        <v>1726</v>
      </c>
      <c r="B11" s="2452"/>
      <c r="C11" s="1983"/>
      <c r="D11" s="2451" t="s">
        <v>15</v>
      </c>
      <c r="E11" s="2452"/>
      <c r="F11" s="2455"/>
      <c r="G11" s="2464" t="s">
        <v>1593</v>
      </c>
      <c r="H11" s="2465"/>
      <c r="I11" s="1595"/>
      <c r="J11" s="2385" t="s">
        <v>105</v>
      </c>
      <c r="K11" s="2520"/>
    </row>
    <row r="12" spans="1:11" ht="22.5" customHeight="1" thickBot="1">
      <c r="A12" s="2451" t="s">
        <v>1727</v>
      </c>
      <c r="B12" s="2452"/>
      <c r="C12" s="1983"/>
      <c r="D12" s="2451" t="s">
        <v>16</v>
      </c>
      <c r="E12" s="2452"/>
      <c r="F12" s="2455"/>
      <c r="G12" s="1736" t="s">
        <v>61</v>
      </c>
      <c r="H12" s="2523"/>
      <c r="I12" s="1595"/>
      <c r="J12" s="2385" t="s">
        <v>1382</v>
      </c>
      <c r="K12" s="2520"/>
    </row>
    <row r="13" spans="1:11" ht="22.5" customHeight="1" thickBot="1">
      <c r="A13" s="2451" t="s">
        <v>1728</v>
      </c>
      <c r="B13" s="2452"/>
      <c r="C13" s="1983"/>
      <c r="D13" s="2451" t="s">
        <v>17</v>
      </c>
      <c r="E13" s="2452"/>
      <c r="F13" s="2455"/>
      <c r="G13" s="2464" t="s">
        <v>712</v>
      </c>
      <c r="H13" s="2465"/>
      <c r="I13" s="1595"/>
      <c r="J13" s="2385" t="s">
        <v>106</v>
      </c>
      <c r="K13" s="2520"/>
    </row>
    <row r="14" spans="1:11" ht="22.5" customHeight="1">
      <c r="A14" s="2451" t="s">
        <v>1579</v>
      </c>
      <c r="B14" s="2452"/>
      <c r="C14" s="1983"/>
      <c r="D14" s="2451" t="s">
        <v>18</v>
      </c>
      <c r="E14" s="2452"/>
      <c r="F14" s="2455"/>
      <c r="G14" s="2518" t="s">
        <v>62</v>
      </c>
      <c r="H14" s="2519"/>
      <c r="I14" s="1595"/>
      <c r="J14" s="2385" t="s">
        <v>1601</v>
      </c>
      <c r="K14" s="2520"/>
    </row>
    <row r="15" spans="1:11" ht="22.5" customHeight="1">
      <c r="A15" s="2451" t="s">
        <v>1582</v>
      </c>
      <c r="B15" s="2452"/>
      <c r="C15" s="1983"/>
      <c r="D15" s="2451" t="s">
        <v>19</v>
      </c>
      <c r="E15" s="2452"/>
      <c r="F15" s="2455"/>
      <c r="G15" s="2385" t="s">
        <v>1594</v>
      </c>
      <c r="H15" s="2520"/>
      <c r="I15" s="1595"/>
      <c r="J15" s="2385" t="s">
        <v>1383</v>
      </c>
      <c r="K15" s="2520"/>
    </row>
    <row r="16" spans="1:11" ht="22.5" customHeight="1">
      <c r="A16" s="2451" t="s">
        <v>1729</v>
      </c>
      <c r="B16" s="2452"/>
      <c r="C16" s="1983"/>
      <c r="D16" s="2451" t="s">
        <v>20</v>
      </c>
      <c r="E16" s="2452"/>
      <c r="F16" s="2455"/>
      <c r="G16" s="2385" t="s">
        <v>63</v>
      </c>
      <c r="H16" s="2520"/>
      <c r="I16" s="1595"/>
      <c r="J16" s="2385" t="s">
        <v>1384</v>
      </c>
      <c r="K16" s="2520"/>
    </row>
    <row r="17" spans="1:14" ht="22.5" customHeight="1">
      <c r="A17" s="2451" t="s">
        <v>1730</v>
      </c>
      <c r="B17" s="2452"/>
      <c r="C17" s="1983"/>
      <c r="D17" s="2451" t="s">
        <v>21</v>
      </c>
      <c r="E17" s="2452"/>
      <c r="F17" s="2455"/>
      <c r="G17" s="2385" t="s">
        <v>1366</v>
      </c>
      <c r="H17" s="2520"/>
      <c r="I17" s="1595"/>
      <c r="J17" s="2385" t="s">
        <v>107</v>
      </c>
      <c r="K17" s="2520"/>
      <c r="M17" s="1600"/>
      <c r="N17" s="1600"/>
    </row>
    <row r="18" spans="1:14" ht="22.5" customHeight="1">
      <c r="A18" s="2451" t="s">
        <v>1731</v>
      </c>
      <c r="B18" s="2452"/>
      <c r="C18" s="1983"/>
      <c r="D18" s="2451" t="s">
        <v>22</v>
      </c>
      <c r="E18" s="2452"/>
      <c r="F18" s="2455"/>
      <c r="G18" s="2385" t="s">
        <v>64</v>
      </c>
      <c r="H18" s="2520"/>
      <c r="I18" s="1595"/>
      <c r="J18" s="2385" t="s">
        <v>108</v>
      </c>
      <c r="K18" s="2520"/>
      <c r="M18" s="1602"/>
      <c r="N18" s="1603"/>
    </row>
    <row r="19" spans="1:14" ht="22.5" customHeight="1">
      <c r="A19" s="2451" t="s">
        <v>1259</v>
      </c>
      <c r="B19" s="2452"/>
      <c r="C19" s="1983"/>
      <c r="D19" s="2451" t="s">
        <v>23</v>
      </c>
      <c r="E19" s="2452"/>
      <c r="F19" s="2455"/>
      <c r="G19" s="2385" t="s">
        <v>65</v>
      </c>
      <c r="H19" s="2520"/>
      <c r="I19" s="1595"/>
      <c r="J19" s="2385" t="s">
        <v>109</v>
      </c>
      <c r="K19" s="2520"/>
      <c r="M19" s="1602"/>
      <c r="N19" s="1603"/>
    </row>
    <row r="20" spans="1:14" ht="22.5" customHeight="1">
      <c r="A20" s="2451" t="s">
        <v>1732</v>
      </c>
      <c r="B20" s="2452"/>
      <c r="C20" s="1983"/>
      <c r="D20" s="2451" t="s">
        <v>1352</v>
      </c>
      <c r="E20" s="2452"/>
      <c r="F20" s="2455"/>
      <c r="G20" s="2385" t="s">
        <v>66</v>
      </c>
      <c r="H20" s="2520"/>
      <c r="I20" s="1595"/>
      <c r="J20" s="2385" t="s">
        <v>110</v>
      </c>
      <c r="K20" s="2520"/>
      <c r="N20" s="1603"/>
    </row>
    <row r="21" spans="1:14" ht="22.5" customHeight="1">
      <c r="A21" s="2451" t="s">
        <v>1583</v>
      </c>
      <c r="B21" s="2452"/>
      <c r="C21" s="1983"/>
      <c r="D21" s="2451" t="s">
        <v>1353</v>
      </c>
      <c r="E21" s="2452"/>
      <c r="F21" s="2455"/>
      <c r="G21" s="2385" t="s">
        <v>67</v>
      </c>
      <c r="H21" s="2520"/>
      <c r="I21" s="1595"/>
      <c r="J21" s="2385" t="s">
        <v>1385</v>
      </c>
      <c r="K21" s="2520"/>
      <c r="N21" s="1603"/>
    </row>
    <row r="22" spans="1:14" ht="22.5" customHeight="1">
      <c r="A22" s="2451" t="s">
        <v>1733</v>
      </c>
      <c r="B22" s="2452"/>
      <c r="C22" s="1983"/>
      <c r="D22" s="2451" t="s">
        <v>24</v>
      </c>
      <c r="E22" s="2452"/>
      <c r="F22" s="1983"/>
      <c r="G22" s="2385" t="s">
        <v>68</v>
      </c>
      <c r="H22" s="2520"/>
      <c r="I22" s="1595"/>
      <c r="J22" s="2385" t="s">
        <v>1602</v>
      </c>
      <c r="K22" s="2520"/>
      <c r="N22" s="1603"/>
    </row>
    <row r="23" spans="1:11" ht="22.5" customHeight="1">
      <c r="A23" s="2451" t="s">
        <v>1734</v>
      </c>
      <c r="B23" s="2452"/>
      <c r="C23" s="1983"/>
      <c r="D23" s="2451" t="s">
        <v>25</v>
      </c>
      <c r="E23" s="2452"/>
      <c r="F23" s="1621"/>
      <c r="G23" s="2385" t="s">
        <v>1367</v>
      </c>
      <c r="H23" s="2520"/>
      <c r="I23" s="1595"/>
      <c r="J23" s="2385" t="s">
        <v>111</v>
      </c>
      <c r="K23" s="2520"/>
    </row>
    <row r="24" spans="1:14" ht="22.5" customHeight="1">
      <c r="A24" s="2451" t="s">
        <v>1735</v>
      </c>
      <c r="B24" s="2452"/>
      <c r="C24" s="1983"/>
      <c r="D24" s="2451" t="s">
        <v>1354</v>
      </c>
      <c r="E24" s="2452"/>
      <c r="F24" s="1621"/>
      <c r="G24" s="2385" t="s">
        <v>69</v>
      </c>
      <c r="H24" s="2520"/>
      <c r="I24" s="1595"/>
      <c r="J24" s="2385" t="s">
        <v>112</v>
      </c>
      <c r="K24" s="2520"/>
      <c r="M24" s="1604"/>
      <c r="N24" s="1603"/>
    </row>
    <row r="25" spans="1:14" ht="22.5" customHeight="1">
      <c r="A25" s="2451" t="s">
        <v>1736</v>
      </c>
      <c r="B25" s="2452"/>
      <c r="C25" s="1983"/>
      <c r="D25" s="2451" t="s">
        <v>1355</v>
      </c>
      <c r="E25" s="2452"/>
      <c r="F25" s="1621"/>
      <c r="G25" s="2385" t="s">
        <v>1595</v>
      </c>
      <c r="H25" s="2520"/>
      <c r="I25" s="1595"/>
      <c r="J25" s="2385" t="s">
        <v>1603</v>
      </c>
      <c r="K25" s="2520"/>
      <c r="M25" s="1602"/>
      <c r="N25" s="1603"/>
    </row>
    <row r="26" spans="1:14" ht="22.5" customHeight="1">
      <c r="A26" s="2451" t="s">
        <v>1584</v>
      </c>
      <c r="B26" s="2452"/>
      <c r="C26" s="1983"/>
      <c r="D26" s="2451" t="s">
        <v>1356</v>
      </c>
      <c r="E26" s="2452"/>
      <c r="F26" s="1621"/>
      <c r="G26" s="2385" t="s">
        <v>1368</v>
      </c>
      <c r="H26" s="2520"/>
      <c r="I26" s="1595"/>
      <c r="J26" s="2385" t="s">
        <v>1386</v>
      </c>
      <c r="K26" s="2520"/>
      <c r="M26" s="1602"/>
      <c r="N26" s="1603"/>
    </row>
    <row r="27" spans="1:14" ht="22.5" customHeight="1">
      <c r="A27" s="2451" t="s">
        <v>1737</v>
      </c>
      <c r="B27" s="2452"/>
      <c r="C27" s="1983"/>
      <c r="D27" s="2451" t="s">
        <v>26</v>
      </c>
      <c r="E27" s="2452"/>
      <c r="F27" s="1983"/>
      <c r="G27" s="2385" t="s">
        <v>70</v>
      </c>
      <c r="H27" s="2520"/>
      <c r="I27" s="1595"/>
      <c r="J27" s="2385" t="s">
        <v>113</v>
      </c>
      <c r="K27" s="2520"/>
      <c r="M27" s="1602"/>
      <c r="N27" s="1603"/>
    </row>
    <row r="28" spans="1:14" ht="22.5" customHeight="1">
      <c r="A28" s="2451" t="s">
        <v>711</v>
      </c>
      <c r="B28" s="2452"/>
      <c r="C28" s="1621"/>
      <c r="D28" s="2451" t="s">
        <v>1357</v>
      </c>
      <c r="E28" s="2452"/>
      <c r="F28" s="1621"/>
      <c r="G28" s="2385" t="s">
        <v>71</v>
      </c>
      <c r="H28" s="2520"/>
      <c r="I28" s="1595"/>
      <c r="J28" s="2385" t="s">
        <v>1387</v>
      </c>
      <c r="K28" s="2520"/>
      <c r="M28" s="1602"/>
      <c r="N28" s="1603"/>
    </row>
    <row r="29" spans="1:14" ht="22.5" customHeight="1">
      <c r="A29" s="2451" t="s">
        <v>1585</v>
      </c>
      <c r="B29" s="2452"/>
      <c r="C29" s="1983"/>
      <c r="D29" s="2451" t="s">
        <v>27</v>
      </c>
      <c r="E29" s="2452"/>
      <c r="G29" s="2385" t="s">
        <v>72</v>
      </c>
      <c r="H29" s="2520"/>
      <c r="I29" s="1595"/>
      <c r="J29" s="2385" t="s">
        <v>114</v>
      </c>
      <c r="K29" s="2520"/>
      <c r="M29" s="1606"/>
      <c r="N29" s="1603"/>
    </row>
    <row r="30" spans="1:14" ht="22.5" customHeight="1">
      <c r="A30" s="2451" t="s">
        <v>1738</v>
      </c>
      <c r="B30" s="2452"/>
      <c r="C30" s="1983"/>
      <c r="D30" s="2451" t="s">
        <v>28</v>
      </c>
      <c r="E30" s="2452"/>
      <c r="G30" s="2385" t="s">
        <v>1596</v>
      </c>
      <c r="H30" s="2520"/>
      <c r="I30" s="1595"/>
      <c r="J30" s="2385" t="s">
        <v>1388</v>
      </c>
      <c r="K30" s="2520"/>
      <c r="M30" s="1606"/>
      <c r="N30" s="1603"/>
    </row>
    <row r="31" spans="1:14" ht="22.5" customHeight="1" thickBot="1">
      <c r="A31" s="2461" t="s">
        <v>1348</v>
      </c>
      <c r="B31" s="2462"/>
      <c r="C31" s="1983"/>
      <c r="D31" s="2451" t="s">
        <v>29</v>
      </c>
      <c r="E31" s="2452"/>
      <c r="G31" s="2385" t="s">
        <v>73</v>
      </c>
      <c r="H31" s="2520"/>
      <c r="I31" s="1595"/>
      <c r="J31" s="2385" t="s">
        <v>115</v>
      </c>
      <c r="K31" s="2520"/>
      <c r="M31" s="1602"/>
      <c r="N31" s="1603"/>
    </row>
    <row r="32" spans="1:14" ht="22.5" customHeight="1" thickBot="1">
      <c r="A32" s="2466" t="s">
        <v>1739</v>
      </c>
      <c r="B32" s="2471"/>
      <c r="C32" s="1983"/>
      <c r="D32" s="2451" t="s">
        <v>1358</v>
      </c>
      <c r="E32" s="2452"/>
      <c r="G32" s="2385" t="s">
        <v>1597</v>
      </c>
      <c r="H32" s="2520"/>
      <c r="I32" s="1595"/>
      <c r="J32" s="2385" t="s">
        <v>1389</v>
      </c>
      <c r="K32" s="2520"/>
      <c r="M32" s="1602"/>
      <c r="N32" s="1603"/>
    </row>
    <row r="33" spans="1:20" ht="22.5" customHeight="1">
      <c r="A33" s="2458" t="s">
        <v>1740</v>
      </c>
      <c r="B33" s="2459"/>
      <c r="C33" s="1983"/>
      <c r="D33" s="2451" t="s">
        <v>1588</v>
      </c>
      <c r="E33" s="2452"/>
      <c r="G33" s="2385" t="s">
        <v>74</v>
      </c>
      <c r="H33" s="2520"/>
      <c r="I33" s="1595"/>
      <c r="J33" s="2385" t="s">
        <v>116</v>
      </c>
      <c r="K33" s="2520"/>
      <c r="M33" s="1602"/>
      <c r="N33" s="1603"/>
      <c r="Q33" s="1611"/>
      <c r="S33" s="1612"/>
      <c r="T33" s="1613"/>
    </row>
    <row r="34" spans="1:14" ht="22.5" customHeight="1" thickBot="1">
      <c r="A34" s="2451" t="s">
        <v>1741</v>
      </c>
      <c r="B34" s="2452"/>
      <c r="C34" s="1606"/>
      <c r="D34" s="2451" t="s">
        <v>30</v>
      </c>
      <c r="E34" s="2452"/>
      <c r="G34" s="2385" t="s">
        <v>1369</v>
      </c>
      <c r="H34" s="2520"/>
      <c r="I34" s="1595"/>
      <c r="J34" s="2521" t="s">
        <v>117</v>
      </c>
      <c r="K34" s="2522"/>
      <c r="M34" s="1602"/>
      <c r="N34" s="1603"/>
    </row>
    <row r="35" spans="1:14" ht="22.5" customHeight="1" thickBot="1">
      <c r="A35" s="2451" t="s">
        <v>1742</v>
      </c>
      <c r="B35" s="2452"/>
      <c r="C35" s="1606"/>
      <c r="D35" s="2451" t="s">
        <v>31</v>
      </c>
      <c r="E35" s="2452"/>
      <c r="G35" s="2385" t="s">
        <v>75</v>
      </c>
      <c r="H35" s="2520"/>
      <c r="I35" s="1595"/>
      <c r="J35" s="2464" t="s">
        <v>713</v>
      </c>
      <c r="K35" s="2467"/>
      <c r="M35" s="1602"/>
      <c r="N35" s="1603"/>
    </row>
    <row r="36" spans="1:20" ht="28.5" customHeight="1">
      <c r="A36" s="2451" t="s">
        <v>1743</v>
      </c>
      <c r="B36" s="2452"/>
      <c r="C36" s="1983"/>
      <c r="D36" s="2451" t="s">
        <v>1589</v>
      </c>
      <c r="E36" s="2452"/>
      <c r="G36" s="2385" t="s">
        <v>76</v>
      </c>
      <c r="H36" s="2520"/>
      <c r="I36" s="1595"/>
      <c r="J36" s="2518" t="s">
        <v>1604</v>
      </c>
      <c r="K36" s="2519"/>
      <c r="M36" s="1602"/>
      <c r="N36" s="1603"/>
      <c r="Q36" s="1614"/>
      <c r="S36" s="1615"/>
      <c r="T36" s="1616"/>
    </row>
    <row r="37" spans="1:14" ht="22.5" customHeight="1">
      <c r="A37" s="2451" t="s">
        <v>1744</v>
      </c>
      <c r="B37" s="2452"/>
      <c r="C37" s="1983"/>
      <c r="D37" s="2451" t="s">
        <v>32</v>
      </c>
      <c r="E37" s="2452"/>
      <c r="G37" s="2385" t="s">
        <v>77</v>
      </c>
      <c r="H37" s="2520"/>
      <c r="I37" s="1595"/>
      <c r="J37" s="2385" t="s">
        <v>118</v>
      </c>
      <c r="K37" s="2520"/>
      <c r="M37" s="1602"/>
      <c r="N37" s="1603"/>
    </row>
    <row r="38" spans="1:14" ht="22.5" customHeight="1">
      <c r="A38" s="2451" t="s">
        <v>1745</v>
      </c>
      <c r="B38" s="2452"/>
      <c r="C38" s="1606"/>
      <c r="D38" s="2451" t="s">
        <v>33</v>
      </c>
      <c r="E38" s="2452"/>
      <c r="F38" s="1621"/>
      <c r="G38" s="2385" t="s">
        <v>78</v>
      </c>
      <c r="H38" s="2520"/>
      <c r="I38" s="1595"/>
      <c r="J38" s="2385" t="s">
        <v>119</v>
      </c>
      <c r="K38" s="2520"/>
      <c r="M38" s="1602"/>
      <c r="N38" s="1603"/>
    </row>
    <row r="39" spans="1:14" ht="22.5" customHeight="1">
      <c r="A39" s="2451" t="s">
        <v>1746</v>
      </c>
      <c r="B39" s="2452"/>
      <c r="C39" s="1606"/>
      <c r="D39" s="2451" t="s">
        <v>34</v>
      </c>
      <c r="E39" s="2452"/>
      <c r="F39" s="1621"/>
      <c r="G39" s="2385" t="s">
        <v>79</v>
      </c>
      <c r="H39" s="2520"/>
      <c r="I39" s="1595"/>
      <c r="J39" s="2385" t="s">
        <v>120</v>
      </c>
      <c r="K39" s="2520"/>
      <c r="M39" s="1602"/>
      <c r="N39" s="1603"/>
    </row>
    <row r="40" spans="1:14" ht="22.5" customHeight="1" thickBot="1">
      <c r="A40" s="2451" t="s">
        <v>1747</v>
      </c>
      <c r="B40" s="2452"/>
      <c r="C40" s="1606"/>
      <c r="D40" s="2451" t="s">
        <v>35</v>
      </c>
      <c r="E40" s="2452"/>
      <c r="F40" s="1621"/>
      <c r="G40" s="2521" t="s">
        <v>1599</v>
      </c>
      <c r="H40" s="2522"/>
      <c r="I40" s="1595"/>
      <c r="J40" s="2385" t="s">
        <v>1390</v>
      </c>
      <c r="K40" s="2520"/>
      <c r="M40" s="1602"/>
      <c r="N40" s="1603"/>
    </row>
    <row r="41" spans="1:20" ht="22.5" customHeight="1" thickBot="1">
      <c r="A41" s="2451" t="s">
        <v>1748</v>
      </c>
      <c r="B41" s="2452"/>
      <c r="C41" s="1621"/>
      <c r="D41" s="2451" t="s">
        <v>36</v>
      </c>
      <c r="E41" s="2452"/>
      <c r="F41" s="1621"/>
      <c r="G41" s="2464" t="s">
        <v>80</v>
      </c>
      <c r="H41" s="2465"/>
      <c r="I41" s="1595"/>
      <c r="J41" s="2385" t="s">
        <v>121</v>
      </c>
      <c r="K41" s="2520"/>
      <c r="M41" s="1602"/>
      <c r="N41" s="1603"/>
      <c r="Q41" s="1617"/>
      <c r="S41" s="1617"/>
      <c r="T41" s="1616"/>
    </row>
    <row r="42" spans="1:14" ht="22.5" customHeight="1" thickBot="1">
      <c r="A42" s="2451" t="s">
        <v>1749</v>
      </c>
      <c r="B42" s="2452"/>
      <c r="C42" s="1983"/>
      <c r="D42" s="2451" t="s">
        <v>37</v>
      </c>
      <c r="E42" s="2452"/>
      <c r="G42" s="2518" t="s">
        <v>81</v>
      </c>
      <c r="H42" s="2519"/>
      <c r="I42" s="1595"/>
      <c r="J42" s="2521" t="s">
        <v>122</v>
      </c>
      <c r="K42" s="2522"/>
      <c r="M42" s="1602"/>
      <c r="N42" s="1603"/>
    </row>
    <row r="43" spans="1:14" ht="22.5" customHeight="1" thickBot="1">
      <c r="A43" s="2451" t="s">
        <v>1750</v>
      </c>
      <c r="B43" s="2452"/>
      <c r="C43" s="1606"/>
      <c r="D43" s="2451" t="s">
        <v>1359</v>
      </c>
      <c r="E43" s="2452"/>
      <c r="F43" s="1621"/>
      <c r="G43" s="2385" t="s">
        <v>82</v>
      </c>
      <c r="H43" s="2520"/>
      <c r="I43" s="1595"/>
      <c r="J43" s="2464" t="s">
        <v>714</v>
      </c>
      <c r="K43" s="2465"/>
      <c r="M43" s="1602"/>
      <c r="N43" s="1603"/>
    </row>
    <row r="44" spans="1:14" ht="22.5" customHeight="1">
      <c r="A44" s="2451" t="s">
        <v>1751</v>
      </c>
      <c r="B44" s="2452"/>
      <c r="C44" s="1606"/>
      <c r="D44" s="2451" t="s">
        <v>38</v>
      </c>
      <c r="E44" s="2452"/>
      <c r="F44" s="1621"/>
      <c r="G44" s="2385" t="s">
        <v>83</v>
      </c>
      <c r="H44" s="2520"/>
      <c r="I44" s="1595"/>
      <c r="J44" s="2518" t="s">
        <v>123</v>
      </c>
      <c r="K44" s="2519"/>
      <c r="M44" s="1602"/>
      <c r="N44" s="1603"/>
    </row>
    <row r="45" spans="1:14" ht="22.5" customHeight="1">
      <c r="A45" s="2451" t="s">
        <v>1752</v>
      </c>
      <c r="B45" s="2452"/>
      <c r="C45" s="1621"/>
      <c r="D45" s="2451" t="s">
        <v>1590</v>
      </c>
      <c r="E45" s="2452"/>
      <c r="F45" s="1621"/>
      <c r="G45" s="2385" t="s">
        <v>84</v>
      </c>
      <c r="H45" s="2520"/>
      <c r="I45" s="1595"/>
      <c r="J45" s="2385" t="s">
        <v>1391</v>
      </c>
      <c r="K45" s="2520"/>
      <c r="M45" s="1602"/>
      <c r="N45" s="1603"/>
    </row>
    <row r="46" spans="1:14" ht="22.5" customHeight="1">
      <c r="A46" s="2451" t="s">
        <v>1753</v>
      </c>
      <c r="B46" s="2452"/>
      <c r="C46" s="1606"/>
      <c r="D46" s="2451" t="s">
        <v>39</v>
      </c>
      <c r="E46" s="2452"/>
      <c r="F46" s="1621"/>
      <c r="G46" s="2385" t="s">
        <v>1371</v>
      </c>
      <c r="H46" s="2520"/>
      <c r="I46" s="1595"/>
      <c r="J46" s="2385" t="s">
        <v>1392</v>
      </c>
      <c r="K46" s="2520"/>
      <c r="M46" s="1600"/>
      <c r="N46" s="1600"/>
    </row>
    <row r="47" spans="1:20" ht="22.5" customHeight="1" thickBot="1">
      <c r="A47" s="2451" t="s">
        <v>1754</v>
      </c>
      <c r="B47" s="2452"/>
      <c r="C47" s="1606"/>
      <c r="D47" s="2451" t="s">
        <v>40</v>
      </c>
      <c r="E47" s="2452"/>
      <c r="F47" s="1621"/>
      <c r="G47" s="2385" t="s">
        <v>1372</v>
      </c>
      <c r="H47" s="2520"/>
      <c r="I47" s="1595"/>
      <c r="J47" s="2521" t="s">
        <v>124</v>
      </c>
      <c r="K47" s="2522"/>
      <c r="M47" s="1602"/>
      <c r="N47" s="1603"/>
      <c r="Q47" s="1618"/>
      <c r="S47" s="1618"/>
      <c r="T47" s="1619"/>
    </row>
    <row r="48" spans="1:14" ht="22.5" customHeight="1" thickBot="1">
      <c r="A48" s="2451" t="s">
        <v>1755</v>
      </c>
      <c r="B48" s="2452"/>
      <c r="C48" s="1606"/>
      <c r="D48" s="2451" t="s">
        <v>1591</v>
      </c>
      <c r="E48" s="2452"/>
      <c r="F48" s="1621"/>
      <c r="G48" s="2385" t="s">
        <v>85</v>
      </c>
      <c r="H48" s="2520"/>
      <c r="I48" s="1595"/>
      <c r="J48" s="2464" t="s">
        <v>125</v>
      </c>
      <c r="K48" s="2468"/>
      <c r="N48" s="1603"/>
    </row>
    <row r="49" spans="1:14" ht="22.5" customHeight="1">
      <c r="A49" s="2451" t="s">
        <v>1756</v>
      </c>
      <c r="B49" s="2452"/>
      <c r="C49" s="1606"/>
      <c r="D49" s="2451" t="s">
        <v>1360</v>
      </c>
      <c r="E49" s="2452"/>
      <c r="F49" s="1621"/>
      <c r="G49" s="2385" t="s">
        <v>1373</v>
      </c>
      <c r="H49" s="2520"/>
      <c r="I49" s="1595"/>
      <c r="J49" s="2518" t="s">
        <v>126</v>
      </c>
      <c r="K49" s="2519"/>
      <c r="N49" s="1603"/>
    </row>
    <row r="50" spans="1:14" ht="22.5" customHeight="1">
      <c r="A50" s="2451" t="s">
        <v>1757</v>
      </c>
      <c r="B50" s="2452"/>
      <c r="C50" s="1606"/>
      <c r="D50" s="2451" t="s">
        <v>41</v>
      </c>
      <c r="E50" s="2452"/>
      <c r="F50" s="1621"/>
      <c r="G50" s="2385" t="s">
        <v>86</v>
      </c>
      <c r="H50" s="2520"/>
      <c r="I50" s="1595"/>
      <c r="J50" s="2385" t="s">
        <v>127</v>
      </c>
      <c r="K50" s="2520"/>
      <c r="M50" s="1602"/>
      <c r="N50" s="1603"/>
    </row>
    <row r="51" spans="1:14" ht="22.5" customHeight="1" thickBot="1">
      <c r="A51" s="2451" t="s">
        <v>1758</v>
      </c>
      <c r="B51" s="2452"/>
      <c r="C51" s="1983"/>
      <c r="D51" s="2451" t="s">
        <v>1361</v>
      </c>
      <c r="E51" s="2452"/>
      <c r="F51" s="1621"/>
      <c r="G51" s="2385" t="s">
        <v>1374</v>
      </c>
      <c r="H51" s="2520"/>
      <c r="I51" s="1595"/>
      <c r="J51" s="2521" t="s">
        <v>128</v>
      </c>
      <c r="K51" s="2522"/>
      <c r="M51" s="1602"/>
      <c r="N51" s="1603"/>
    </row>
    <row r="52" spans="1:14" ht="22.5" customHeight="1" thickBot="1">
      <c r="A52" s="2451" t="s">
        <v>1759</v>
      </c>
      <c r="B52" s="2452"/>
      <c r="C52" s="1606"/>
      <c r="D52" s="2451" t="s">
        <v>1347</v>
      </c>
      <c r="E52" s="2452"/>
      <c r="F52" s="1621"/>
      <c r="G52" s="2385" t="s">
        <v>87</v>
      </c>
      <c r="H52" s="2520"/>
      <c r="I52" s="1595"/>
      <c r="J52" s="2464" t="s">
        <v>131</v>
      </c>
      <c r="K52" s="2468"/>
      <c r="M52" s="1602"/>
      <c r="N52" s="1603"/>
    </row>
    <row r="53" spans="1:14" ht="22.5" customHeight="1">
      <c r="A53" s="2451" t="s">
        <v>1760</v>
      </c>
      <c r="B53" s="2452"/>
      <c r="C53" s="1606"/>
      <c r="D53" s="2451" t="s">
        <v>42</v>
      </c>
      <c r="E53" s="2452"/>
      <c r="F53" s="1621"/>
      <c r="G53" s="2385" t="s">
        <v>88</v>
      </c>
      <c r="H53" s="2520"/>
      <c r="I53" s="1595"/>
      <c r="J53" s="2518" t="s">
        <v>129</v>
      </c>
      <c r="K53" s="2519"/>
      <c r="M53" s="1602"/>
      <c r="N53" s="1603"/>
    </row>
    <row r="54" spans="1:14" ht="22.5" customHeight="1">
      <c r="A54" s="2451" t="s">
        <v>1761</v>
      </c>
      <c r="B54" s="2452"/>
      <c r="C54" s="1606"/>
      <c r="D54" s="2451" t="s">
        <v>43</v>
      </c>
      <c r="E54" s="2452"/>
      <c r="F54" s="1621"/>
      <c r="G54" s="2385" t="s">
        <v>1581</v>
      </c>
      <c r="H54" s="2520"/>
      <c r="I54" s="1595"/>
      <c r="J54" s="2385" t="s">
        <v>1393</v>
      </c>
      <c r="K54" s="2520"/>
      <c r="M54" s="1602"/>
      <c r="N54" s="1603"/>
    </row>
    <row r="55" spans="1:20" ht="22.5" customHeight="1">
      <c r="A55" s="2451" t="s">
        <v>1762</v>
      </c>
      <c r="B55" s="2452"/>
      <c r="C55" s="1606"/>
      <c r="D55" s="2451" t="s">
        <v>44</v>
      </c>
      <c r="E55" s="2452"/>
      <c r="F55" s="1621"/>
      <c r="G55" s="2385" t="s">
        <v>89</v>
      </c>
      <c r="H55" s="2520"/>
      <c r="I55" s="1595"/>
      <c r="J55" s="2385" t="s">
        <v>130</v>
      </c>
      <c r="K55" s="2520"/>
      <c r="M55" s="1602"/>
      <c r="N55" s="1603"/>
      <c r="Q55" s="1618"/>
      <c r="S55" s="1618"/>
      <c r="T55" s="1619"/>
    </row>
    <row r="56" spans="1:19" ht="22.5" customHeight="1" thickBot="1">
      <c r="A56" s="2451" t="s">
        <v>1763</v>
      </c>
      <c r="B56" s="2452"/>
      <c r="C56" s="1606"/>
      <c r="D56" s="2451" t="s">
        <v>45</v>
      </c>
      <c r="E56" s="2452"/>
      <c r="F56" s="1621"/>
      <c r="G56" s="2385" t="s">
        <v>1600</v>
      </c>
      <c r="H56" s="2520"/>
      <c r="I56" s="1595"/>
      <c r="J56" s="2521" t="s">
        <v>1608</v>
      </c>
      <c r="K56" s="2522"/>
      <c r="M56" s="1602"/>
      <c r="N56" s="1603"/>
      <c r="Q56" s="1607"/>
      <c r="S56" s="1607"/>
    </row>
    <row r="57" spans="1:14" ht="22.5" customHeight="1" thickBot="1">
      <c r="A57" s="2451" t="s">
        <v>1764</v>
      </c>
      <c r="B57" s="2452"/>
      <c r="C57" s="1606"/>
      <c r="D57" s="2451" t="s">
        <v>1362</v>
      </c>
      <c r="E57" s="2452"/>
      <c r="F57" s="1621"/>
      <c r="G57" s="2385" t="s">
        <v>90</v>
      </c>
      <c r="H57" s="2520"/>
      <c r="I57" s="1595"/>
      <c r="J57" s="2464" t="s">
        <v>1606</v>
      </c>
      <c r="K57" s="2469"/>
      <c r="M57" s="1602"/>
      <c r="N57" s="1603"/>
    </row>
    <row r="58" spans="1:14" ht="22.5" customHeight="1">
      <c r="A58" s="2451" t="s">
        <v>1765</v>
      </c>
      <c r="B58" s="2452"/>
      <c r="C58" s="1606"/>
      <c r="D58" s="2451" t="s">
        <v>46</v>
      </c>
      <c r="E58" s="2452"/>
      <c r="F58" s="1621"/>
      <c r="G58" s="2385" t="s">
        <v>91</v>
      </c>
      <c r="H58" s="2520"/>
      <c r="I58" s="1595"/>
      <c r="J58" s="2518" t="s">
        <v>132</v>
      </c>
      <c r="K58" s="2519"/>
      <c r="M58" s="1602"/>
      <c r="N58" s="1603"/>
    </row>
    <row r="59" spans="1:14" ht="22.5" customHeight="1" thickBot="1">
      <c r="A59" s="2451" t="s">
        <v>0</v>
      </c>
      <c r="B59" s="2452"/>
      <c r="C59" s="1606"/>
      <c r="D59" s="2451" t="s">
        <v>47</v>
      </c>
      <c r="E59" s="2452"/>
      <c r="F59" s="1621"/>
      <c r="G59" s="2385" t="s">
        <v>1375</v>
      </c>
      <c r="H59" s="2520"/>
      <c r="I59" s="1595"/>
      <c r="J59" s="2386" t="s">
        <v>133</v>
      </c>
      <c r="K59" s="2524"/>
      <c r="M59" s="1602"/>
      <c r="N59" s="1603"/>
    </row>
    <row r="60" spans="1:14" ht="22.5" customHeight="1" thickBot="1">
      <c r="A60" s="2461" t="s">
        <v>1</v>
      </c>
      <c r="B60" s="2462"/>
      <c r="C60" s="1606"/>
      <c r="D60" s="2451" t="s">
        <v>48</v>
      </c>
      <c r="E60" s="2452"/>
      <c r="F60" s="1621"/>
      <c r="G60" s="2385" t="s">
        <v>92</v>
      </c>
      <c r="H60" s="2520"/>
      <c r="I60" s="1595"/>
      <c r="J60" s="1599"/>
      <c r="M60" s="1602"/>
      <c r="N60" s="1603"/>
    </row>
    <row r="61" spans="1:14" ht="22.5" customHeight="1" thickBot="1">
      <c r="A61" s="2464" t="s">
        <v>1261</v>
      </c>
      <c r="B61" s="2472"/>
      <c r="C61" s="1983"/>
      <c r="D61" s="2451" t="s">
        <v>49</v>
      </c>
      <c r="E61" s="2452"/>
      <c r="G61" s="2385" t="s">
        <v>1376</v>
      </c>
      <c r="H61" s="2520"/>
      <c r="I61" s="1595"/>
      <c r="J61" s="1620"/>
      <c r="K61" s="1983"/>
      <c r="M61" s="1602"/>
      <c r="N61" s="1603"/>
    </row>
    <row r="62" spans="1:14" ht="22.5" customHeight="1">
      <c r="A62" s="2458" t="s">
        <v>2</v>
      </c>
      <c r="B62" s="2459"/>
      <c r="C62" s="1606"/>
      <c r="D62" s="2451" t="s">
        <v>50</v>
      </c>
      <c r="E62" s="2452"/>
      <c r="F62" s="1621"/>
      <c r="G62" s="2385" t="s">
        <v>93</v>
      </c>
      <c r="H62" s="2520"/>
      <c r="I62" s="1595"/>
      <c r="J62" s="2457"/>
      <c r="K62" s="1983"/>
      <c r="M62" s="1602"/>
      <c r="N62" s="1603"/>
    </row>
    <row r="63" spans="1:14" ht="22.5" customHeight="1">
      <c r="A63" s="2451" t="s">
        <v>1605</v>
      </c>
      <c r="B63" s="2452"/>
      <c r="C63" s="1606"/>
      <c r="D63" s="2451" t="s">
        <v>51</v>
      </c>
      <c r="E63" s="2452"/>
      <c r="F63" s="1621"/>
      <c r="G63" s="2385" t="s">
        <v>1377</v>
      </c>
      <c r="H63" s="2520"/>
      <c r="I63" s="1595"/>
      <c r="J63" s="1599"/>
      <c r="K63" s="427"/>
      <c r="M63" s="1602"/>
      <c r="N63" s="1603"/>
    </row>
    <row r="64" spans="1:14" ht="22.5" customHeight="1" thickBot="1">
      <c r="A64" s="2461" t="s">
        <v>3</v>
      </c>
      <c r="B64" s="2462"/>
      <c r="C64" s="1606"/>
      <c r="D64" s="2451" t="s">
        <v>52</v>
      </c>
      <c r="E64" s="2452"/>
      <c r="F64" s="1621"/>
      <c r="G64" s="2385" t="s">
        <v>94</v>
      </c>
      <c r="H64" s="2520"/>
      <c r="I64" s="1595"/>
      <c r="J64" s="1599"/>
      <c r="K64" s="427"/>
      <c r="M64" s="1602"/>
      <c r="N64" s="1603"/>
    </row>
    <row r="65" spans="1:14" ht="22.5" customHeight="1" thickBot="1">
      <c r="A65" s="2464" t="s">
        <v>4</v>
      </c>
      <c r="B65" s="2472"/>
      <c r="C65" s="1606"/>
      <c r="D65" s="2451" t="s">
        <v>1592</v>
      </c>
      <c r="E65" s="2452"/>
      <c r="F65" s="1621"/>
      <c r="G65" s="2385" t="s">
        <v>95</v>
      </c>
      <c r="H65" s="2520"/>
      <c r="I65" s="1595"/>
      <c r="J65" s="1599"/>
      <c r="K65" s="1983"/>
      <c r="M65" s="1602"/>
      <c r="N65" s="1603"/>
    </row>
    <row r="66" spans="1:14" ht="22.5" customHeight="1">
      <c r="A66" s="2458" t="s">
        <v>5</v>
      </c>
      <c r="B66" s="2459"/>
      <c r="C66" s="2392"/>
      <c r="D66" s="2451" t="s">
        <v>53</v>
      </c>
      <c r="E66" s="2452"/>
      <c r="F66" s="1621"/>
      <c r="G66" s="2385" t="s">
        <v>1378</v>
      </c>
      <c r="H66" s="2520"/>
      <c r="I66" s="1595"/>
      <c r="J66" s="1599"/>
      <c r="K66" s="427"/>
      <c r="M66" s="1602"/>
      <c r="N66" s="1603"/>
    </row>
    <row r="67" spans="1:11" ht="22.5" customHeight="1">
      <c r="A67" s="2451" t="s">
        <v>6</v>
      </c>
      <c r="B67" s="2452"/>
      <c r="C67" s="2392"/>
      <c r="D67" s="2451" t="s">
        <v>54</v>
      </c>
      <c r="E67" s="2452"/>
      <c r="F67" s="1621"/>
      <c r="G67" s="2385" t="s">
        <v>1379</v>
      </c>
      <c r="H67" s="2520"/>
      <c r="I67" s="1595"/>
      <c r="J67" s="1599"/>
      <c r="K67" s="427"/>
    </row>
    <row r="68" spans="1:14" ht="22.5" customHeight="1">
      <c r="A68" s="2451" t="s">
        <v>7</v>
      </c>
      <c r="B68" s="2452"/>
      <c r="C68" s="2392"/>
      <c r="D68" s="2451" t="s">
        <v>1363</v>
      </c>
      <c r="E68" s="2452"/>
      <c r="F68" s="1621"/>
      <c r="G68" s="2385" t="s">
        <v>96</v>
      </c>
      <c r="H68" s="2520"/>
      <c r="I68" s="1595"/>
      <c r="J68" s="1620"/>
      <c r="K68" s="1983"/>
      <c r="M68" s="1602"/>
      <c r="N68" s="1603"/>
    </row>
    <row r="69" spans="1:14" ht="22.5" customHeight="1">
      <c r="A69" s="2451" t="s">
        <v>1586</v>
      </c>
      <c r="B69" s="2452"/>
      <c r="C69" s="2392"/>
      <c r="D69" s="2451" t="s">
        <v>1364</v>
      </c>
      <c r="E69" s="2452"/>
      <c r="F69" s="1621"/>
      <c r="G69" s="2385" t="s">
        <v>97</v>
      </c>
      <c r="H69" s="2520"/>
      <c r="I69" s="1595"/>
      <c r="J69" s="2457"/>
      <c r="K69" s="1983"/>
      <c r="M69" s="1602"/>
      <c r="N69" s="1603"/>
    </row>
    <row r="70" spans="1:14" ht="22.5" customHeight="1" thickBot="1">
      <c r="A70" s="2451" t="s">
        <v>1350</v>
      </c>
      <c r="B70" s="2452"/>
      <c r="C70" s="2392"/>
      <c r="D70" s="2461" t="s">
        <v>1365</v>
      </c>
      <c r="E70" s="2462"/>
      <c r="F70" s="1621"/>
      <c r="G70" s="2385" t="s">
        <v>98</v>
      </c>
      <c r="H70" s="2520"/>
      <c r="I70" s="1595"/>
      <c r="J70" s="1599"/>
      <c r="M70" s="1602"/>
      <c r="N70" s="1603"/>
    </row>
    <row r="71" spans="1:14" ht="22.5" customHeight="1" thickBot="1">
      <c r="A71" s="2451" t="s">
        <v>8</v>
      </c>
      <c r="B71" s="2452"/>
      <c r="C71" s="2392"/>
      <c r="D71" s="2464" t="s">
        <v>60</v>
      </c>
      <c r="E71" s="2465"/>
      <c r="F71" s="1621"/>
      <c r="G71" s="2385" t="s">
        <v>99</v>
      </c>
      <c r="H71" s="2520"/>
      <c r="I71" s="1595"/>
      <c r="J71" s="1599"/>
      <c r="M71" s="1602"/>
      <c r="N71" s="1603"/>
    </row>
    <row r="72" spans="1:14" ht="22.5" customHeight="1">
      <c r="A72" s="2451" t="s">
        <v>9</v>
      </c>
      <c r="B72" s="2452"/>
      <c r="C72" s="2392"/>
      <c r="D72" s="2458" t="s">
        <v>55</v>
      </c>
      <c r="E72" s="2459"/>
      <c r="F72" s="1621"/>
      <c r="G72" s="2385" t="s">
        <v>100</v>
      </c>
      <c r="H72" s="2520"/>
      <c r="I72" s="1595"/>
      <c r="J72" s="1599"/>
      <c r="M72" s="1602"/>
      <c r="N72" s="1603"/>
    </row>
    <row r="73" spans="1:14" ht="22.5" customHeight="1" thickBot="1">
      <c r="A73" s="2451" t="s">
        <v>10</v>
      </c>
      <c r="B73" s="2452"/>
      <c r="C73" s="2392"/>
      <c r="D73" s="2451" t="s">
        <v>1598</v>
      </c>
      <c r="E73" s="2452"/>
      <c r="F73" s="1621"/>
      <c r="G73" s="2386" t="s">
        <v>1380</v>
      </c>
      <c r="H73" s="2524"/>
      <c r="I73" s="1595"/>
      <c r="J73" s="1599"/>
      <c r="M73" s="1602"/>
      <c r="N73" s="1603"/>
    </row>
    <row r="74" spans="3:14" ht="22.5" customHeight="1">
      <c r="C74" s="2392"/>
      <c r="D74" s="2393"/>
      <c r="E74" s="1351"/>
      <c r="F74" s="1621"/>
      <c r="I74" s="1595"/>
      <c r="J74" s="1599"/>
      <c r="M74" s="1602"/>
      <c r="N74" s="1603"/>
    </row>
    <row r="75" spans="3:14" ht="22.5" customHeight="1">
      <c r="C75" s="2392"/>
      <c r="D75" s="2393"/>
      <c r="E75" s="1351"/>
      <c r="F75" s="1621"/>
      <c r="I75" s="1595"/>
      <c r="M75" s="1602"/>
      <c r="N75" s="1603"/>
    </row>
    <row r="76" spans="3:14" ht="22.5" customHeight="1">
      <c r="C76" s="2392"/>
      <c r="D76" s="2393"/>
      <c r="E76" s="1351"/>
      <c r="F76" s="1621"/>
      <c r="I76" s="1595"/>
      <c r="M76" s="1602"/>
      <c r="N76" s="1603"/>
    </row>
    <row r="77" spans="3:14" ht="22.5" customHeight="1">
      <c r="C77" s="2392"/>
      <c r="D77" s="2393"/>
      <c r="E77" s="1351"/>
      <c r="F77" s="1621"/>
      <c r="I77" s="1595"/>
      <c r="J77" s="1599"/>
      <c r="K77" s="427"/>
      <c r="M77" s="1602"/>
      <c r="N77" s="1603"/>
    </row>
    <row r="78" spans="3:14" ht="22.5" customHeight="1">
      <c r="C78" s="2392"/>
      <c r="D78" s="2393"/>
      <c r="E78" s="1351"/>
      <c r="F78" s="1621"/>
      <c r="I78" s="1595"/>
      <c r="J78" s="1599"/>
      <c r="K78" s="427"/>
      <c r="M78" s="1602"/>
      <c r="N78" s="1603"/>
    </row>
    <row r="79" spans="3:14" ht="22.5" customHeight="1">
      <c r="C79" s="2392"/>
      <c r="D79" s="2393"/>
      <c r="E79" s="1351"/>
      <c r="F79" s="1621"/>
      <c r="I79" s="1595"/>
      <c r="J79" s="1599"/>
      <c r="M79" s="1602"/>
      <c r="N79" s="1603"/>
    </row>
    <row r="80" spans="3:14" ht="22.5" customHeight="1">
      <c r="C80" s="2392"/>
      <c r="D80" s="1970"/>
      <c r="E80" s="1971"/>
      <c r="F80" s="1621"/>
      <c r="I80" s="140"/>
      <c r="J80" s="1974"/>
      <c r="K80" s="1601"/>
      <c r="M80" s="1602"/>
      <c r="N80" s="1603"/>
    </row>
    <row r="81" spans="3:10" ht="22.5" customHeight="1">
      <c r="C81" s="2392"/>
      <c r="D81" s="1972"/>
      <c r="E81" s="1602"/>
      <c r="F81" s="1621"/>
      <c r="I81" s="140"/>
      <c r="J81" s="1607"/>
    </row>
    <row r="82" spans="3:10" ht="22.5" customHeight="1">
      <c r="C82" s="2392"/>
      <c r="D82" s="1969"/>
      <c r="E82" s="1602"/>
      <c r="F82" s="1621"/>
      <c r="I82" s="140"/>
      <c r="J82" s="1599"/>
    </row>
    <row r="83" spans="3:14" ht="22.5" customHeight="1">
      <c r="C83" s="2392"/>
      <c r="D83" s="1969"/>
      <c r="E83" s="1602"/>
      <c r="F83" s="1621"/>
      <c r="I83" s="140"/>
      <c r="J83" s="1599"/>
      <c r="K83" s="1601"/>
      <c r="M83" s="1602"/>
      <c r="N83" s="1603"/>
    </row>
    <row r="84" spans="3:14" ht="22.5" customHeight="1">
      <c r="C84" s="2392"/>
      <c r="D84" s="1599"/>
      <c r="E84" s="427"/>
      <c r="F84" s="1621"/>
      <c r="I84" s="140"/>
      <c r="J84" s="1599"/>
      <c r="K84" s="1601"/>
      <c r="M84" s="1602"/>
      <c r="N84" s="1603"/>
    </row>
    <row r="85" spans="3:14" ht="22.5" customHeight="1">
      <c r="C85" s="2392"/>
      <c r="D85" s="1969"/>
      <c r="E85" s="1602"/>
      <c r="F85" s="1621"/>
      <c r="I85" s="140"/>
      <c r="J85" s="1599"/>
      <c r="K85" s="1601"/>
      <c r="M85" s="1602"/>
      <c r="N85" s="1603"/>
    </row>
    <row r="86" spans="3:14" ht="22.5" customHeight="1">
      <c r="C86" s="2392"/>
      <c r="D86" s="1969"/>
      <c r="E86" s="1602"/>
      <c r="F86" s="1621"/>
      <c r="I86" s="140"/>
      <c r="J86" s="1599"/>
      <c r="K86" s="1605"/>
      <c r="M86" s="1606"/>
      <c r="N86" s="1603"/>
    </row>
    <row r="87" spans="3:9" ht="22.5" customHeight="1">
      <c r="C87" s="2392"/>
      <c r="D87" s="1599"/>
      <c r="E87" s="427"/>
      <c r="F87" s="1621"/>
      <c r="I87" s="140"/>
    </row>
    <row r="88" spans="3:14" ht="22.5" customHeight="1">
      <c r="C88" s="2392"/>
      <c r="D88" s="1599"/>
      <c r="E88" s="427"/>
      <c r="F88" s="1621"/>
      <c r="I88" s="140"/>
      <c r="K88" s="1605"/>
      <c r="M88" s="1606"/>
      <c r="N88" s="1603"/>
    </row>
    <row r="89" spans="3:14" ht="27" customHeight="1">
      <c r="C89" s="2392"/>
      <c r="D89" s="1599"/>
      <c r="E89" s="427"/>
      <c r="F89" s="1621"/>
      <c r="I89" s="140"/>
      <c r="K89" s="1605"/>
      <c r="M89" s="1606"/>
      <c r="N89" s="1603"/>
    </row>
    <row r="90" spans="3:14" ht="22.5" customHeight="1">
      <c r="C90" s="2392"/>
      <c r="D90" s="1599"/>
      <c r="E90" s="427"/>
      <c r="F90" s="1621"/>
      <c r="I90" s="140"/>
      <c r="K90" s="1605"/>
      <c r="M90" s="1606"/>
      <c r="N90" s="1603"/>
    </row>
    <row r="91" spans="3:14" ht="22.5" customHeight="1">
      <c r="C91" s="2392"/>
      <c r="D91" s="1969"/>
      <c r="E91" s="1602"/>
      <c r="F91" s="1621"/>
      <c r="I91" s="140"/>
      <c r="K91" s="1605"/>
      <c r="M91" s="1606"/>
      <c r="N91" s="1603"/>
    </row>
    <row r="92" spans="3:9" ht="22.5" customHeight="1">
      <c r="C92" s="2392"/>
      <c r="D92" s="1969"/>
      <c r="E92" s="1602"/>
      <c r="F92" s="1621"/>
      <c r="I92" s="140"/>
    </row>
    <row r="93" spans="3:14" ht="22.5" customHeight="1">
      <c r="C93" s="1"/>
      <c r="D93" s="1969"/>
      <c r="E93" s="1602"/>
      <c r="F93" s="1621"/>
      <c r="I93" s="140"/>
      <c r="K93" s="1601"/>
      <c r="M93" s="1602"/>
      <c r="N93" s="1603"/>
    </row>
    <row r="94" spans="3:14" ht="22.5" customHeight="1">
      <c r="C94" s="1"/>
      <c r="D94" s="1969"/>
      <c r="E94" s="1602"/>
      <c r="F94" s="1621"/>
      <c r="I94" s="140"/>
      <c r="K94" s="1601"/>
      <c r="M94" s="1602"/>
      <c r="N94" s="1603"/>
    </row>
    <row r="95" spans="3:14" ht="22.5" customHeight="1">
      <c r="C95" s="1"/>
      <c r="D95" s="1599"/>
      <c r="E95" s="1973"/>
      <c r="F95" s="1621"/>
      <c r="I95" s="140"/>
      <c r="K95" s="1601"/>
      <c r="M95" s="1602"/>
      <c r="N95" s="1603"/>
    </row>
    <row r="96" spans="3:14" ht="22.5" customHeight="1">
      <c r="C96" s="1"/>
      <c r="D96" s="1602"/>
      <c r="E96" s="1602"/>
      <c r="F96" s="1621"/>
      <c r="I96" s="140"/>
      <c r="K96" s="1601"/>
      <c r="M96" s="1602"/>
      <c r="N96" s="1603"/>
    </row>
    <row r="97" spans="3:9" ht="22.5" customHeight="1">
      <c r="C97" s="1"/>
      <c r="D97" s="1602"/>
      <c r="E97" s="1602"/>
      <c r="F97" s="1621"/>
      <c r="I97" s="140"/>
    </row>
    <row r="98" spans="3:9" ht="22.5" customHeight="1">
      <c r="C98" s="1"/>
      <c r="D98" s="1602"/>
      <c r="E98" s="1602"/>
      <c r="F98" s="1621"/>
      <c r="I98" s="140"/>
    </row>
    <row r="99" spans="3:14" ht="22.5" customHeight="1">
      <c r="C99" s="1"/>
      <c r="D99" s="1602"/>
      <c r="E99" s="1602"/>
      <c r="F99" s="1621"/>
      <c r="I99" s="140"/>
      <c r="K99" s="1601"/>
      <c r="M99" s="1602"/>
      <c r="N99" s="1603"/>
    </row>
    <row r="100" spans="3:14" ht="22.5" customHeight="1">
      <c r="C100" s="1"/>
      <c r="D100" s="1602"/>
      <c r="E100" s="1602"/>
      <c r="F100" s="1621"/>
      <c r="I100" s="140"/>
      <c r="K100" s="1605"/>
      <c r="M100" s="1606"/>
      <c r="N100" s="1603"/>
    </row>
    <row r="101" spans="3:14" ht="22.5" customHeight="1">
      <c r="C101" s="1"/>
      <c r="D101" s="1602"/>
      <c r="E101" s="1602"/>
      <c r="F101" s="1621"/>
      <c r="I101" s="140"/>
      <c r="K101" s="1605"/>
      <c r="M101" s="1606"/>
      <c r="N101" s="1603"/>
    </row>
    <row r="102" spans="3:9" ht="22.5" customHeight="1">
      <c r="C102" s="1"/>
      <c r="D102" s="1602"/>
      <c r="E102" s="1602"/>
      <c r="F102" s="1621"/>
      <c r="I102" s="140"/>
    </row>
    <row r="103" spans="3:6" ht="22.5" customHeight="1">
      <c r="C103" s="1"/>
      <c r="D103" s="1602"/>
      <c r="E103" s="1602"/>
      <c r="F103" s="1621"/>
    </row>
    <row r="104" spans="3:6" ht="22.5" customHeight="1">
      <c r="C104" s="1"/>
      <c r="D104" s="1602"/>
      <c r="E104" s="1602"/>
      <c r="F104" s="1621"/>
    </row>
    <row r="105" spans="3:6" ht="22.5" customHeight="1">
      <c r="C105" s="1"/>
      <c r="D105" s="1602"/>
      <c r="E105" s="1602"/>
      <c r="F105" s="1621"/>
    </row>
    <row r="106" spans="3:14" ht="22.5" customHeight="1">
      <c r="C106" s="1"/>
      <c r="D106" s="1602"/>
      <c r="E106" s="1602"/>
      <c r="F106" s="1621"/>
      <c r="K106" s="1607"/>
      <c r="M106" s="1607"/>
      <c r="N106" s="1603"/>
    </row>
    <row r="107" spans="3:6" ht="24.75" customHeight="1">
      <c r="C107" s="1"/>
      <c r="D107" s="1602"/>
      <c r="E107" s="1602"/>
      <c r="F107" s="1621"/>
    </row>
    <row r="108" spans="3:5" ht="27.75" customHeight="1">
      <c r="C108" s="1"/>
      <c r="D108" s="427"/>
      <c r="E108" s="427"/>
    </row>
    <row r="109" spans="3:5" ht="22.5" customHeight="1">
      <c r="C109" s="1"/>
      <c r="D109" s="427"/>
      <c r="E109" s="427"/>
    </row>
    <row r="110" ht="22.5" customHeight="1">
      <c r="C110" s="1"/>
    </row>
    <row r="111" ht="22.5" customHeight="1">
      <c r="C111" s="1"/>
    </row>
    <row r="112" ht="22.5" customHeight="1">
      <c r="C112" s="1"/>
    </row>
    <row r="113" spans="3:14" ht="22.5" customHeight="1">
      <c r="C113" s="1"/>
      <c r="K113" s="1607"/>
      <c r="M113" s="1607"/>
      <c r="N113" s="1603"/>
    </row>
    <row r="114" ht="26.25">
      <c r="C114" s="1"/>
    </row>
    <row r="115" ht="26.25">
      <c r="C115" s="2397"/>
    </row>
    <row r="116" ht="26.25">
      <c r="C116" s="2397"/>
    </row>
    <row r="117" ht="26.25">
      <c r="C117" s="2397"/>
    </row>
    <row r="118" ht="26.25">
      <c r="C118" s="2397"/>
    </row>
    <row r="119" ht="26.25">
      <c r="C119" s="2397"/>
    </row>
    <row r="120" spans="3:7" ht="26.25">
      <c r="C120" s="2397"/>
      <c r="D120" s="140"/>
      <c r="E120" s="140"/>
      <c r="F120" s="2456"/>
      <c r="G120" s="137"/>
    </row>
    <row r="121" ht="26.25">
      <c r="C121" s="2397"/>
    </row>
    <row r="122" ht="26.25">
      <c r="C122" s="2397"/>
    </row>
    <row r="123" ht="26.25">
      <c r="C123" s="2397"/>
    </row>
    <row r="124" ht="26.25">
      <c r="C124" s="2397"/>
    </row>
    <row r="125" ht="26.25">
      <c r="C125" s="2397"/>
    </row>
    <row r="126" ht="26.25">
      <c r="C126" s="2397"/>
    </row>
    <row r="127" ht="26.25">
      <c r="C127" s="2397"/>
    </row>
    <row r="128" ht="26.25">
      <c r="C128" s="2397"/>
    </row>
    <row r="129" ht="26.25">
      <c r="C129" s="2397"/>
    </row>
    <row r="130" ht="26.25">
      <c r="C130" s="2397"/>
    </row>
    <row r="131" ht="26.25">
      <c r="C131" s="2397"/>
    </row>
    <row r="132" ht="26.25">
      <c r="C132" s="2397"/>
    </row>
    <row r="133" ht="26.25">
      <c r="C133" s="2397"/>
    </row>
    <row r="134" ht="26.25">
      <c r="C134" s="2397"/>
    </row>
    <row r="135" ht="26.25">
      <c r="C135" s="2397"/>
    </row>
    <row r="136" ht="26.25">
      <c r="C136" s="2397"/>
    </row>
    <row r="137" ht="26.25">
      <c r="C137" s="2397"/>
    </row>
    <row r="138" ht="26.25">
      <c r="C138" s="2397"/>
    </row>
    <row r="139" ht="26.25">
      <c r="C139" s="2397"/>
    </row>
  </sheetData>
  <sheetProtection/>
  <printOptions/>
  <pageMargins left="0.93" right="0.984251968503937" top="0.66" bottom="0.984251968503937" header="0.4330708661417323" footer="0.5118110236220472"/>
  <pageSetup horizontalDpi="300" verticalDpi="300" orientation="portrait" paperSize="9" scale="4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57"/>
  <sheetViews>
    <sheetView zoomScale="75" zoomScaleNormal="75" zoomScalePageLayoutView="0" workbookViewId="0" topLeftCell="A16">
      <selection activeCell="D48" sqref="D48"/>
    </sheetView>
  </sheetViews>
  <sheetFormatPr defaultColWidth="21.00390625" defaultRowHeight="12.75"/>
  <cols>
    <col min="1" max="1" width="48.28125" style="157" customWidth="1"/>
    <col min="2" max="2" width="39.421875" style="157" customWidth="1"/>
    <col min="3" max="16384" width="21.00390625" style="157" customWidth="1"/>
  </cols>
  <sheetData>
    <row r="1" ht="24.75" customHeight="1">
      <c r="A1" s="156" t="s">
        <v>369</v>
      </c>
    </row>
    <row r="2" spans="1:2" ht="24.75" customHeight="1" thickBot="1">
      <c r="A2" s="347" t="s">
        <v>370</v>
      </c>
      <c r="B2" s="2623" t="s">
        <v>936</v>
      </c>
    </row>
    <row r="3" spans="1:2" ht="24.75" customHeight="1" thickTop="1">
      <c r="A3" s="167" t="s">
        <v>1218</v>
      </c>
      <c r="B3" s="167" t="s">
        <v>472</v>
      </c>
    </row>
    <row r="4" spans="1:2" ht="24.75" customHeight="1" thickBot="1">
      <c r="A4" s="2624" t="s">
        <v>1219</v>
      </c>
      <c r="B4" s="2624" t="s">
        <v>480</v>
      </c>
    </row>
    <row r="5" spans="1:2" ht="24.75" customHeight="1">
      <c r="A5" s="2625" t="s">
        <v>1220</v>
      </c>
      <c r="B5" s="2626"/>
    </row>
    <row r="6" spans="1:2" ht="22.5" customHeight="1">
      <c r="A6" s="2627" t="s">
        <v>1221</v>
      </c>
      <c r="B6" s="2628">
        <f>881105+60029</f>
        <v>941134</v>
      </c>
    </row>
    <row r="7" spans="1:2" ht="24.75" customHeight="1">
      <c r="A7" s="2629" t="s">
        <v>134</v>
      </c>
      <c r="B7" s="2630"/>
    </row>
    <row r="8" spans="1:2" ht="22.5" customHeight="1">
      <c r="A8" s="2627" t="s">
        <v>147</v>
      </c>
      <c r="B8" s="2628">
        <v>138093</v>
      </c>
    </row>
    <row r="9" spans="1:2" ht="22.5" customHeight="1">
      <c r="A9" s="378" t="s">
        <v>860</v>
      </c>
      <c r="B9" s="2631"/>
    </row>
    <row r="10" spans="1:2" ht="18.75" customHeight="1">
      <c r="A10" s="2632"/>
      <c r="B10" s="2631">
        <v>246739</v>
      </c>
    </row>
    <row r="11" spans="1:2" ht="22.5" customHeight="1">
      <c r="A11" s="2629" t="s">
        <v>1572</v>
      </c>
      <c r="B11" s="2630"/>
    </row>
    <row r="12" spans="1:4" ht="24" customHeight="1">
      <c r="A12" s="2633" t="s">
        <v>1609</v>
      </c>
      <c r="B12" s="2628">
        <v>370719</v>
      </c>
      <c r="D12" s="157" t="s">
        <v>1206</v>
      </c>
    </row>
    <row r="13" spans="1:2" ht="24" customHeight="1">
      <c r="A13" s="2634" t="s">
        <v>373</v>
      </c>
      <c r="B13" s="2630"/>
    </row>
    <row r="14" spans="1:2" ht="24" customHeight="1">
      <c r="A14" s="2633"/>
      <c r="B14" s="2628">
        <v>86196</v>
      </c>
    </row>
    <row r="15" spans="1:2" ht="24" customHeight="1">
      <c r="A15" s="378" t="s">
        <v>1344</v>
      </c>
      <c r="B15" s="2631"/>
    </row>
    <row r="16" spans="1:2" ht="19.5" customHeight="1">
      <c r="A16" s="2627" t="s">
        <v>617</v>
      </c>
      <c r="B16" s="2628">
        <v>67427</v>
      </c>
    </row>
    <row r="17" spans="1:2" ht="24" customHeight="1">
      <c r="A17" s="378" t="s">
        <v>1229</v>
      </c>
      <c r="B17" s="2631"/>
    </row>
    <row r="18" spans="1:2" ht="24" customHeight="1">
      <c r="A18" s="2635" t="s">
        <v>1230</v>
      </c>
      <c r="B18" s="2628">
        <v>118262</v>
      </c>
    </row>
    <row r="19" spans="1:2" ht="22.5" customHeight="1">
      <c r="A19" s="378" t="s">
        <v>1231</v>
      </c>
      <c r="B19" s="2631"/>
    </row>
    <row r="20" spans="1:2" ht="22.5" customHeight="1">
      <c r="A20" s="2627" t="s">
        <v>1232</v>
      </c>
      <c r="B20" s="2628">
        <v>1853778</v>
      </c>
    </row>
    <row r="21" spans="1:2" ht="21.75" customHeight="1">
      <c r="A21" s="378" t="s">
        <v>1233</v>
      </c>
      <c r="B21" s="2631"/>
    </row>
    <row r="22" spans="1:2" ht="24" customHeight="1">
      <c r="A22" s="2627" t="s">
        <v>1234</v>
      </c>
      <c r="B22" s="2628">
        <v>497263</v>
      </c>
    </row>
    <row r="23" spans="1:2" ht="21.75" customHeight="1">
      <c r="A23" s="378" t="s">
        <v>135</v>
      </c>
      <c r="B23" s="2631"/>
    </row>
    <row r="24" spans="1:2" ht="21.75" customHeight="1">
      <c r="A24" s="2627" t="s">
        <v>1235</v>
      </c>
      <c r="B24" s="2628">
        <v>436680</v>
      </c>
    </row>
    <row r="25" spans="1:2" ht="24.75" customHeight="1">
      <c r="A25" s="378" t="s">
        <v>1236</v>
      </c>
      <c r="B25" s="2631"/>
    </row>
    <row r="26" spans="1:2" ht="18.75" customHeight="1" thickBot="1">
      <c r="A26" s="2636" t="s">
        <v>1237</v>
      </c>
      <c r="B26" s="2637">
        <v>644378</v>
      </c>
    </row>
    <row r="27" ht="9.75" customHeight="1"/>
    <row r="28" ht="24.75" customHeight="1">
      <c r="A28" s="156" t="s">
        <v>371</v>
      </c>
    </row>
    <row r="29" ht="24.75" customHeight="1" thickBot="1">
      <c r="A29" s="347" t="s">
        <v>372</v>
      </c>
    </row>
    <row r="30" spans="1:2" ht="24.75" customHeight="1" thickTop="1">
      <c r="A30" s="167" t="s">
        <v>1238</v>
      </c>
      <c r="B30" s="167" t="s">
        <v>472</v>
      </c>
    </row>
    <row r="31" spans="1:2" ht="24.75" customHeight="1" thickBot="1">
      <c r="A31" s="2624" t="s">
        <v>1061</v>
      </c>
      <c r="B31" s="2624" t="s">
        <v>480</v>
      </c>
    </row>
    <row r="32" spans="1:2" ht="24.75" customHeight="1">
      <c r="A32" s="2625" t="s">
        <v>374</v>
      </c>
      <c r="B32" s="2626"/>
    </row>
    <row r="33" spans="1:2" ht="24.75" customHeight="1">
      <c r="A33" s="2627" t="s">
        <v>1239</v>
      </c>
      <c r="B33" s="2628">
        <v>56801</v>
      </c>
    </row>
    <row r="34" spans="1:2" ht="24.75" customHeight="1">
      <c r="A34" s="2629" t="s">
        <v>377</v>
      </c>
      <c r="B34" s="2630"/>
    </row>
    <row r="35" spans="1:2" ht="24.75" customHeight="1">
      <c r="A35" s="2627"/>
      <c r="B35" s="2628">
        <v>291354</v>
      </c>
    </row>
    <row r="36" spans="1:2" ht="24.75" customHeight="1">
      <c r="A36" s="378" t="s">
        <v>376</v>
      </c>
      <c r="B36" s="2631"/>
    </row>
    <row r="37" spans="1:2" ht="24.75" customHeight="1">
      <c r="A37" s="2627" t="s">
        <v>1240</v>
      </c>
      <c r="B37" s="2628">
        <v>19298</v>
      </c>
    </row>
    <row r="38" spans="1:2" ht="24.75" customHeight="1">
      <c r="A38" s="378" t="s">
        <v>375</v>
      </c>
      <c r="B38" s="2631"/>
    </row>
    <row r="39" spans="1:2" ht="24.75" customHeight="1">
      <c r="A39" s="2627" t="s">
        <v>1241</v>
      </c>
      <c r="B39" s="2628">
        <v>748524</v>
      </c>
    </row>
    <row r="40" spans="1:2" ht="24.75" customHeight="1">
      <c r="A40" s="2629" t="s">
        <v>378</v>
      </c>
      <c r="B40" s="2630"/>
    </row>
    <row r="41" spans="1:2" ht="24.75" customHeight="1">
      <c r="A41" s="2627"/>
      <c r="B41" s="2628">
        <v>595524</v>
      </c>
    </row>
    <row r="42" spans="1:2" ht="24.75" customHeight="1">
      <c r="A42" s="2629" t="s">
        <v>379</v>
      </c>
      <c r="B42" s="2630"/>
    </row>
    <row r="43" spans="1:2" ht="24.75" customHeight="1">
      <c r="A43" s="2627"/>
      <c r="B43" s="2628">
        <v>448640</v>
      </c>
    </row>
    <row r="44" spans="1:2" ht="24.75" customHeight="1">
      <c r="A44" s="378" t="s">
        <v>1242</v>
      </c>
      <c r="B44" s="2631"/>
    </row>
    <row r="45" spans="1:2" ht="24.75" customHeight="1">
      <c r="A45" s="2627" t="s">
        <v>1243</v>
      </c>
      <c r="B45" s="2628">
        <v>434048</v>
      </c>
    </row>
    <row r="46" spans="1:2" ht="24.75" customHeight="1">
      <c r="A46" s="378" t="s">
        <v>1454</v>
      </c>
      <c r="B46" s="2631"/>
    </row>
    <row r="47" spans="1:2" ht="24.75" customHeight="1">
      <c r="A47" s="2627" t="s">
        <v>1455</v>
      </c>
      <c r="B47" s="2638">
        <v>388800</v>
      </c>
    </row>
    <row r="48" spans="1:2" ht="24.75" customHeight="1">
      <c r="A48" s="378" t="s">
        <v>1244</v>
      </c>
      <c r="B48" s="2631"/>
    </row>
    <row r="49" spans="1:2" ht="24.75" customHeight="1">
      <c r="A49" s="2627" t="s">
        <v>1245</v>
      </c>
      <c r="B49" s="2628">
        <v>1736556</v>
      </c>
    </row>
    <row r="50" spans="1:2" ht="24.75" customHeight="1">
      <c r="A50" s="378" t="s">
        <v>888</v>
      </c>
      <c r="B50" s="2639"/>
    </row>
    <row r="51" spans="1:2" ht="24.75" customHeight="1">
      <c r="A51" s="2627" t="s">
        <v>396</v>
      </c>
      <c r="B51" s="2640">
        <v>1260096</v>
      </c>
    </row>
    <row r="52" spans="1:2" ht="24.75" customHeight="1">
      <c r="A52" s="2629" t="s">
        <v>618</v>
      </c>
      <c r="B52" s="2641"/>
    </row>
    <row r="53" spans="1:2" ht="24.75" customHeight="1">
      <c r="A53" s="2627" t="s">
        <v>1123</v>
      </c>
      <c r="B53" s="2640">
        <v>95335</v>
      </c>
    </row>
    <row r="54" spans="1:2" ht="24.75" customHeight="1">
      <c r="A54" s="2632" t="s">
        <v>1345</v>
      </c>
      <c r="B54" s="2639"/>
    </row>
    <row r="55" spans="1:2" ht="24.75" customHeight="1">
      <c r="A55" s="2632" t="s">
        <v>1346</v>
      </c>
      <c r="B55" s="2639">
        <v>1154824</v>
      </c>
    </row>
    <row r="56" spans="1:2" ht="24.75" customHeight="1">
      <c r="A56" s="2629" t="s">
        <v>1246</v>
      </c>
      <c r="B56" s="2641"/>
    </row>
    <row r="57" spans="1:2" ht="24.75" customHeight="1" thickBot="1">
      <c r="A57" s="2636" t="s">
        <v>1247</v>
      </c>
      <c r="B57" s="2642">
        <v>123450</v>
      </c>
    </row>
  </sheetData>
  <sheetProtection/>
  <printOptions/>
  <pageMargins left="0.99" right="1" top="0.45" bottom="1" header="0.54" footer="0.5"/>
  <pageSetup horizontalDpi="300" verticalDpi="300" orientation="portrait" paperSize="9" scale="67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zoomScale="68" zoomScaleNormal="68" zoomScalePageLayoutView="0" workbookViewId="0" topLeftCell="A1">
      <selection activeCell="N53" sqref="N53"/>
    </sheetView>
  </sheetViews>
  <sheetFormatPr defaultColWidth="9.140625" defaultRowHeight="12.75"/>
  <cols>
    <col min="1" max="1" width="18.7109375" style="160" customWidth="1"/>
    <col min="2" max="2" width="9.28125" style="160" customWidth="1"/>
    <col min="3" max="3" width="9.140625" style="160" customWidth="1"/>
    <col min="4" max="4" width="13.421875" style="160" customWidth="1"/>
    <col min="5" max="5" width="9.00390625" style="160" customWidth="1"/>
    <col min="6" max="6" width="11.00390625" style="160" customWidth="1"/>
    <col min="7" max="7" width="13.57421875" style="160" customWidth="1"/>
    <col min="8" max="8" width="9.140625" style="160" customWidth="1"/>
    <col min="9" max="9" width="11.7109375" style="160" customWidth="1"/>
    <col min="10" max="10" width="13.421875" style="160" customWidth="1"/>
    <col min="11" max="11" width="19.28125" style="219" customWidth="1"/>
    <col min="12" max="16384" width="9.140625" style="160" customWidth="1"/>
  </cols>
  <sheetData>
    <row r="1" spans="1:11" s="214" customFormat="1" ht="18.75">
      <c r="A1" s="156" t="s">
        <v>609</v>
      </c>
      <c r="K1" s="215"/>
    </row>
    <row r="2" s="214" customFormat="1" ht="16.5" thickBot="1">
      <c r="K2" s="215"/>
    </row>
    <row r="3" spans="1:11" ht="19.5" thickBot="1">
      <c r="A3" s="198"/>
      <c r="B3" s="2850" t="s">
        <v>527</v>
      </c>
      <c r="C3" s="2850"/>
      <c r="D3" s="2851"/>
      <c r="E3" s="2852" t="s">
        <v>528</v>
      </c>
      <c r="F3" s="2850"/>
      <c r="G3" s="2851"/>
      <c r="H3" s="2852" t="s">
        <v>1395</v>
      </c>
      <c r="I3" s="2850"/>
      <c r="J3" s="2850"/>
      <c r="K3" s="193"/>
    </row>
    <row r="4" spans="1:11" ht="19.5">
      <c r="A4" s="185" t="s">
        <v>566</v>
      </c>
      <c r="B4" s="186" t="s">
        <v>567</v>
      </c>
      <c r="C4" s="186" t="s">
        <v>568</v>
      </c>
      <c r="D4" s="186" t="s">
        <v>569</v>
      </c>
      <c r="E4" s="186" t="s">
        <v>567</v>
      </c>
      <c r="F4" s="186" t="s">
        <v>568</v>
      </c>
      <c r="G4" s="186" t="s">
        <v>569</v>
      </c>
      <c r="H4" s="186" t="s">
        <v>567</v>
      </c>
      <c r="I4" s="186" t="s">
        <v>568</v>
      </c>
      <c r="J4" s="186" t="s">
        <v>569</v>
      </c>
      <c r="K4" s="187" t="s">
        <v>570</v>
      </c>
    </row>
    <row r="5" spans="1:11" ht="18.75">
      <c r="A5" s="185" t="s">
        <v>571</v>
      </c>
      <c r="B5" s="188" t="s">
        <v>572</v>
      </c>
      <c r="C5" s="188" t="s">
        <v>573</v>
      </c>
      <c r="D5" s="188" t="s">
        <v>610</v>
      </c>
      <c r="E5" s="188" t="s">
        <v>572</v>
      </c>
      <c r="F5" s="188" t="s">
        <v>573</v>
      </c>
      <c r="G5" s="188" t="s">
        <v>610</v>
      </c>
      <c r="H5" s="188" t="s">
        <v>572</v>
      </c>
      <c r="I5" s="188" t="s">
        <v>573</v>
      </c>
      <c r="J5" s="188" t="s">
        <v>610</v>
      </c>
      <c r="K5" s="194" t="s">
        <v>575</v>
      </c>
    </row>
    <row r="6" spans="1:11" ht="19.5" thickBot="1">
      <c r="A6" s="581"/>
      <c r="B6" s="189" t="s">
        <v>444</v>
      </c>
      <c r="C6" s="189" t="s">
        <v>576</v>
      </c>
      <c r="D6" s="189" t="s">
        <v>577</v>
      </c>
      <c r="E6" s="532" t="s">
        <v>444</v>
      </c>
      <c r="F6" s="532" t="s">
        <v>576</v>
      </c>
      <c r="G6" s="532" t="s">
        <v>577</v>
      </c>
      <c r="H6" s="532" t="s">
        <v>444</v>
      </c>
      <c r="I6" s="532" t="s">
        <v>576</v>
      </c>
      <c r="J6" s="532" t="s">
        <v>577</v>
      </c>
      <c r="K6" s="736"/>
    </row>
    <row r="7" spans="1:11" s="214" customFormat="1" ht="20.25" thickBot="1">
      <c r="A7" s="835" t="s">
        <v>578</v>
      </c>
      <c r="B7" s="2185" t="s">
        <v>464</v>
      </c>
      <c r="C7" s="2186" t="s">
        <v>464</v>
      </c>
      <c r="D7" s="2187" t="s">
        <v>464</v>
      </c>
      <c r="E7" s="861" t="s">
        <v>464</v>
      </c>
      <c r="F7" s="861" t="s">
        <v>464</v>
      </c>
      <c r="G7" s="862" t="s">
        <v>464</v>
      </c>
      <c r="H7" s="182">
        <f>SUM(H8+H13+H20+H26+H30)</f>
        <v>85030</v>
      </c>
      <c r="I7" s="183">
        <f>(J7*1000)/H7</f>
        <v>89.85064095025285</v>
      </c>
      <c r="J7" s="184">
        <f>SUM(J13+J20+J26+J30)</f>
        <v>7640</v>
      </c>
      <c r="K7" s="863" t="s">
        <v>579</v>
      </c>
    </row>
    <row r="8" spans="1:11" s="214" customFormat="1" ht="19.5">
      <c r="A8" s="840" t="s">
        <v>580</v>
      </c>
      <c r="B8" s="2188" t="s">
        <v>464</v>
      </c>
      <c r="C8" s="1964" t="s">
        <v>464</v>
      </c>
      <c r="D8" s="1964" t="s">
        <v>464</v>
      </c>
      <c r="E8" s="790" t="s">
        <v>464</v>
      </c>
      <c r="F8" s="791" t="s">
        <v>464</v>
      </c>
      <c r="G8" s="792" t="s">
        <v>464</v>
      </c>
      <c r="H8" s="819">
        <f>SUM(H9:H11)</f>
        <v>12720</v>
      </c>
      <c r="I8" s="842" t="s">
        <v>464</v>
      </c>
      <c r="J8" s="843" t="s">
        <v>464</v>
      </c>
      <c r="K8" s="820" t="s">
        <v>581</v>
      </c>
    </row>
    <row r="9" spans="1:11" ht="16.5" customHeight="1">
      <c r="A9" s="844" t="s">
        <v>582</v>
      </c>
      <c r="B9" s="864" t="s">
        <v>464</v>
      </c>
      <c r="C9" s="1796" t="s">
        <v>464</v>
      </c>
      <c r="D9" s="865" t="s">
        <v>464</v>
      </c>
      <c r="E9" s="707" t="s">
        <v>464</v>
      </c>
      <c r="F9" s="382" t="s">
        <v>464</v>
      </c>
      <c r="G9" s="798" t="s">
        <v>464</v>
      </c>
      <c r="H9" s="824">
        <v>3300</v>
      </c>
      <c r="I9" s="1796" t="s">
        <v>464</v>
      </c>
      <c r="J9" s="865" t="s">
        <v>464</v>
      </c>
      <c r="K9" s="826" t="s">
        <v>583</v>
      </c>
    </row>
    <row r="10" spans="1:11" ht="16.5" customHeight="1">
      <c r="A10" s="844" t="s">
        <v>584</v>
      </c>
      <c r="B10" s="864" t="s">
        <v>464</v>
      </c>
      <c r="C10" s="1796" t="s">
        <v>464</v>
      </c>
      <c r="D10" s="865" t="s">
        <v>464</v>
      </c>
      <c r="E10" s="707" t="s">
        <v>464</v>
      </c>
      <c r="F10" s="382" t="s">
        <v>464</v>
      </c>
      <c r="G10" s="798" t="s">
        <v>464</v>
      </c>
      <c r="H10" s="824">
        <v>1070</v>
      </c>
      <c r="I10" s="1796" t="s">
        <v>464</v>
      </c>
      <c r="J10" s="865" t="s">
        <v>464</v>
      </c>
      <c r="K10" s="826" t="s">
        <v>584</v>
      </c>
    </row>
    <row r="11" spans="1:11" ht="16.5" customHeight="1">
      <c r="A11" s="844" t="s">
        <v>585</v>
      </c>
      <c r="B11" s="864" t="s">
        <v>464</v>
      </c>
      <c r="C11" s="1796" t="s">
        <v>464</v>
      </c>
      <c r="D11" s="865" t="s">
        <v>464</v>
      </c>
      <c r="E11" s="707" t="s">
        <v>464</v>
      </c>
      <c r="F11" s="382" t="s">
        <v>464</v>
      </c>
      <c r="G11" s="798" t="s">
        <v>464</v>
      </c>
      <c r="H11" s="824">
        <v>8350</v>
      </c>
      <c r="I11" s="1796" t="s">
        <v>464</v>
      </c>
      <c r="J11" s="865" t="s">
        <v>464</v>
      </c>
      <c r="K11" s="826" t="s">
        <v>585</v>
      </c>
    </row>
    <row r="12" spans="1:11" ht="16.5" customHeight="1">
      <c r="A12" s="844"/>
      <c r="B12" s="942"/>
      <c r="C12" s="172"/>
      <c r="D12" s="935"/>
      <c r="E12" s="569"/>
      <c r="F12" s="169"/>
      <c r="G12" s="825"/>
      <c r="H12" s="824"/>
      <c r="I12" s="172"/>
      <c r="J12" s="935"/>
      <c r="K12" s="826"/>
    </row>
    <row r="13" spans="1:11" ht="17.25" customHeight="1">
      <c r="A13" s="847" t="s">
        <v>588</v>
      </c>
      <c r="B13" s="1961" t="s">
        <v>464</v>
      </c>
      <c r="C13" s="1796" t="s">
        <v>464</v>
      </c>
      <c r="D13" s="1962" t="s">
        <v>464</v>
      </c>
      <c r="E13" s="707" t="s">
        <v>464</v>
      </c>
      <c r="F13" s="382" t="s">
        <v>464</v>
      </c>
      <c r="G13" s="798" t="s">
        <v>464</v>
      </c>
      <c r="H13" s="828">
        <f>SUM(H14:H18)</f>
        <v>30305</v>
      </c>
      <c r="I13" s="939">
        <f aca="true" t="shared" si="0" ref="I13:I18">(J13*1000)/H13</f>
        <v>179.21135126216797</v>
      </c>
      <c r="J13" s="937">
        <f>SUM(J14:J19)</f>
        <v>5431</v>
      </c>
      <c r="K13" s="829" t="s">
        <v>589</v>
      </c>
    </row>
    <row r="14" spans="1:11" ht="16.5" customHeight="1">
      <c r="A14" s="844" t="s">
        <v>590</v>
      </c>
      <c r="B14" s="864" t="s">
        <v>464</v>
      </c>
      <c r="C14" s="1796" t="s">
        <v>464</v>
      </c>
      <c r="D14" s="865" t="s">
        <v>464</v>
      </c>
      <c r="E14" s="707" t="s">
        <v>464</v>
      </c>
      <c r="F14" s="382" t="s">
        <v>464</v>
      </c>
      <c r="G14" s="798" t="s">
        <v>464</v>
      </c>
      <c r="H14" s="707">
        <v>2280</v>
      </c>
      <c r="I14" s="1796" t="s">
        <v>464</v>
      </c>
      <c r="J14" s="865" t="s">
        <v>464</v>
      </c>
      <c r="K14" s="826" t="s">
        <v>591</v>
      </c>
    </row>
    <row r="15" spans="1:11" s="214" customFormat="1" ht="16.5" customHeight="1">
      <c r="A15" s="844" t="s">
        <v>592</v>
      </c>
      <c r="B15" s="864" t="s">
        <v>464</v>
      </c>
      <c r="C15" s="1796" t="s">
        <v>464</v>
      </c>
      <c r="D15" s="865" t="s">
        <v>464</v>
      </c>
      <c r="E15" s="707" t="s">
        <v>464</v>
      </c>
      <c r="F15" s="382" t="s">
        <v>464</v>
      </c>
      <c r="G15" s="798" t="s">
        <v>464</v>
      </c>
      <c r="H15" s="707">
        <v>1045</v>
      </c>
      <c r="I15" s="172">
        <f t="shared" si="0"/>
        <v>245.93301435406698</v>
      </c>
      <c r="J15" s="865">
        <v>257</v>
      </c>
      <c r="K15" s="826" t="s">
        <v>593</v>
      </c>
    </row>
    <row r="16" spans="1:11" ht="16.5" customHeight="1">
      <c r="A16" s="844" t="s">
        <v>594</v>
      </c>
      <c r="B16" s="864" t="s">
        <v>464</v>
      </c>
      <c r="C16" s="1796" t="s">
        <v>464</v>
      </c>
      <c r="D16" s="865" t="s">
        <v>464</v>
      </c>
      <c r="E16" s="707" t="s">
        <v>464</v>
      </c>
      <c r="F16" s="382" t="s">
        <v>464</v>
      </c>
      <c r="G16" s="798" t="s">
        <v>464</v>
      </c>
      <c r="H16" s="864">
        <v>16500</v>
      </c>
      <c r="I16" s="172">
        <f t="shared" si="0"/>
        <v>261.8181818181818</v>
      </c>
      <c r="J16" s="865">
        <v>4320</v>
      </c>
      <c r="K16" s="826" t="s">
        <v>594</v>
      </c>
    </row>
    <row r="17" spans="1:11" ht="16.5" customHeight="1">
      <c r="A17" s="844" t="s">
        <v>599</v>
      </c>
      <c r="B17" s="864" t="s">
        <v>464</v>
      </c>
      <c r="C17" s="1796" t="s">
        <v>464</v>
      </c>
      <c r="D17" s="865" t="s">
        <v>464</v>
      </c>
      <c r="E17" s="707" t="s">
        <v>464</v>
      </c>
      <c r="F17" s="382" t="s">
        <v>464</v>
      </c>
      <c r="G17" s="798" t="s">
        <v>464</v>
      </c>
      <c r="H17" s="824">
        <v>6230</v>
      </c>
      <c r="I17" s="172">
        <f t="shared" si="0"/>
        <v>68.86035313001605</v>
      </c>
      <c r="J17" s="935">
        <v>429</v>
      </c>
      <c r="K17" s="826" t="s">
        <v>599</v>
      </c>
    </row>
    <row r="18" spans="1:11" ht="16.5" customHeight="1">
      <c r="A18" s="844" t="s">
        <v>598</v>
      </c>
      <c r="B18" s="1961" t="s">
        <v>464</v>
      </c>
      <c r="C18" s="1796" t="s">
        <v>464</v>
      </c>
      <c r="D18" s="1962" t="s">
        <v>464</v>
      </c>
      <c r="E18" s="707" t="s">
        <v>464</v>
      </c>
      <c r="F18" s="382" t="s">
        <v>464</v>
      </c>
      <c r="G18" s="798" t="s">
        <v>464</v>
      </c>
      <c r="H18" s="824">
        <v>4250</v>
      </c>
      <c r="I18" s="172">
        <f t="shared" si="0"/>
        <v>100</v>
      </c>
      <c r="J18" s="935">
        <v>425</v>
      </c>
      <c r="K18" s="826" t="s">
        <v>598</v>
      </c>
    </row>
    <row r="19" spans="1:11" ht="16.5" customHeight="1">
      <c r="A19" s="848"/>
      <c r="B19" s="1943"/>
      <c r="C19" s="1944"/>
      <c r="D19" s="1945"/>
      <c r="E19" s="849"/>
      <c r="F19" s="850"/>
      <c r="G19" s="851"/>
      <c r="H19" s="569"/>
      <c r="I19" s="170"/>
      <c r="J19" s="570"/>
      <c r="K19" s="826"/>
    </row>
    <row r="20" spans="1:11" ht="18.75" customHeight="1">
      <c r="A20" s="847" t="s">
        <v>601</v>
      </c>
      <c r="B20" s="864" t="s">
        <v>464</v>
      </c>
      <c r="C20" s="1796" t="s">
        <v>464</v>
      </c>
      <c r="D20" s="865" t="s">
        <v>464</v>
      </c>
      <c r="E20" s="707" t="s">
        <v>464</v>
      </c>
      <c r="F20" s="382" t="s">
        <v>464</v>
      </c>
      <c r="G20" s="798" t="s">
        <v>464</v>
      </c>
      <c r="H20" s="845">
        <f>SUM(H21:H24)</f>
        <v>22280</v>
      </c>
      <c r="I20" s="173">
        <f>(J20*1000)/H20</f>
        <v>47.35188509874327</v>
      </c>
      <c r="J20" s="841">
        <f>SUM(J21:J24)</f>
        <v>1055</v>
      </c>
      <c r="K20" s="829" t="s">
        <v>602</v>
      </c>
    </row>
    <row r="21" spans="1:11" ht="16.5" customHeight="1">
      <c r="A21" s="844" t="s">
        <v>603</v>
      </c>
      <c r="B21" s="864" t="s">
        <v>464</v>
      </c>
      <c r="C21" s="1796" t="s">
        <v>464</v>
      </c>
      <c r="D21" s="865" t="s">
        <v>464</v>
      </c>
      <c r="E21" s="707" t="s">
        <v>464</v>
      </c>
      <c r="F21" s="382" t="s">
        <v>464</v>
      </c>
      <c r="G21" s="798" t="s">
        <v>464</v>
      </c>
      <c r="H21" s="707" t="s">
        <v>464</v>
      </c>
      <c r="I21" s="382" t="s">
        <v>464</v>
      </c>
      <c r="J21" s="798" t="s">
        <v>464</v>
      </c>
      <c r="K21" s="826" t="s">
        <v>604</v>
      </c>
    </row>
    <row r="22" spans="1:11" ht="16.5" customHeight="1">
      <c r="A22" s="844" t="s">
        <v>605</v>
      </c>
      <c r="B22" s="864" t="s">
        <v>464</v>
      </c>
      <c r="C22" s="1796" t="s">
        <v>464</v>
      </c>
      <c r="D22" s="865" t="s">
        <v>464</v>
      </c>
      <c r="E22" s="707" t="s">
        <v>464</v>
      </c>
      <c r="F22" s="382" t="s">
        <v>464</v>
      </c>
      <c r="G22" s="798" t="s">
        <v>464</v>
      </c>
      <c r="H22" s="707">
        <v>200</v>
      </c>
      <c r="I22" s="172">
        <f>(J22*1000)/H22</f>
        <v>40</v>
      </c>
      <c r="J22" s="798">
        <v>8</v>
      </c>
      <c r="K22" s="826" t="s">
        <v>606</v>
      </c>
    </row>
    <row r="23" spans="1:11" ht="16.5" customHeight="1">
      <c r="A23" s="844" t="s">
        <v>607</v>
      </c>
      <c r="B23" s="864" t="s">
        <v>464</v>
      </c>
      <c r="C23" s="1796" t="s">
        <v>464</v>
      </c>
      <c r="D23" s="865" t="s">
        <v>464</v>
      </c>
      <c r="E23" s="707" t="s">
        <v>464</v>
      </c>
      <c r="F23" s="382" t="s">
        <v>464</v>
      </c>
      <c r="G23" s="798" t="s">
        <v>464</v>
      </c>
      <c r="H23" s="707">
        <v>9780</v>
      </c>
      <c r="I23" s="172">
        <f>(J23*1000)/H23</f>
        <v>59.50920245398773</v>
      </c>
      <c r="J23" s="865">
        <v>582</v>
      </c>
      <c r="K23" s="826" t="s">
        <v>607</v>
      </c>
    </row>
    <row r="24" spans="1:11" ht="16.5" customHeight="1">
      <c r="A24" s="844" t="s">
        <v>608</v>
      </c>
      <c r="B24" s="864" t="s">
        <v>464</v>
      </c>
      <c r="C24" s="1796" t="s">
        <v>464</v>
      </c>
      <c r="D24" s="865" t="s">
        <v>464</v>
      </c>
      <c r="E24" s="707" t="s">
        <v>464</v>
      </c>
      <c r="F24" s="382" t="s">
        <v>464</v>
      </c>
      <c r="G24" s="798" t="s">
        <v>464</v>
      </c>
      <c r="H24" s="707">
        <v>12300</v>
      </c>
      <c r="I24" s="172">
        <f>(J24*1000)/H24</f>
        <v>37.80487804878049</v>
      </c>
      <c r="J24" s="865">
        <v>465</v>
      </c>
      <c r="K24" s="826" t="s">
        <v>608</v>
      </c>
    </row>
    <row r="25" spans="1:11" s="214" customFormat="1" ht="16.5" customHeight="1">
      <c r="A25" s="852"/>
      <c r="B25" s="1946"/>
      <c r="C25" s="1947"/>
      <c r="D25" s="1948"/>
      <c r="E25" s="853"/>
      <c r="F25" s="854"/>
      <c r="G25" s="855"/>
      <c r="H25" s="692"/>
      <c r="I25" s="693"/>
      <c r="J25" s="694"/>
      <c r="K25" s="830"/>
    </row>
    <row r="26" spans="1:11" ht="19.5" customHeight="1">
      <c r="A26" s="852" t="s">
        <v>1286</v>
      </c>
      <c r="B26" s="1961" t="s">
        <v>464</v>
      </c>
      <c r="C26" s="1796" t="s">
        <v>464</v>
      </c>
      <c r="D26" s="1962" t="s">
        <v>464</v>
      </c>
      <c r="E26" s="707" t="s">
        <v>464</v>
      </c>
      <c r="F26" s="382" t="s">
        <v>464</v>
      </c>
      <c r="G26" s="798" t="s">
        <v>464</v>
      </c>
      <c r="H26" s="692">
        <f>SUM(H27:H28)</f>
        <v>4545</v>
      </c>
      <c r="I26" s="173">
        <f>(J26*1000)/H26</f>
        <v>56.985698569856986</v>
      </c>
      <c r="J26" s="694">
        <f>SUM(J27:J28)</f>
        <v>259</v>
      </c>
      <c r="K26" s="829" t="s">
        <v>1286</v>
      </c>
    </row>
    <row r="27" spans="1:11" ht="16.5" customHeight="1">
      <c r="A27" s="848" t="s">
        <v>586</v>
      </c>
      <c r="B27" s="1961" t="s">
        <v>464</v>
      </c>
      <c r="C27" s="1796" t="s">
        <v>464</v>
      </c>
      <c r="D27" s="1962" t="s">
        <v>464</v>
      </c>
      <c r="E27" s="707" t="s">
        <v>464</v>
      </c>
      <c r="F27" s="382" t="s">
        <v>464</v>
      </c>
      <c r="G27" s="798" t="s">
        <v>464</v>
      </c>
      <c r="H27" s="569">
        <v>3650</v>
      </c>
      <c r="I27" s="169">
        <f>(J27*1000)/H27</f>
        <v>57.534246575342465</v>
      </c>
      <c r="J27" s="570">
        <v>210</v>
      </c>
      <c r="K27" s="826" t="s">
        <v>586</v>
      </c>
    </row>
    <row r="28" spans="1:11" ht="16.5" customHeight="1">
      <c r="A28" s="848" t="s">
        <v>587</v>
      </c>
      <c r="B28" s="1961" t="s">
        <v>464</v>
      </c>
      <c r="C28" s="1796" t="s">
        <v>464</v>
      </c>
      <c r="D28" s="1962" t="s">
        <v>464</v>
      </c>
      <c r="E28" s="707" t="s">
        <v>464</v>
      </c>
      <c r="F28" s="382" t="s">
        <v>464</v>
      </c>
      <c r="G28" s="798" t="s">
        <v>464</v>
      </c>
      <c r="H28" s="707">
        <v>895</v>
      </c>
      <c r="I28" s="169">
        <f>(J28*1000)/H28</f>
        <v>54.74860335195531</v>
      </c>
      <c r="J28" s="798">
        <v>49</v>
      </c>
      <c r="K28" s="826" t="s">
        <v>587</v>
      </c>
    </row>
    <row r="29" spans="1:11" ht="16.5" customHeight="1">
      <c r="A29" s="848"/>
      <c r="B29" s="1943"/>
      <c r="C29" s="1944"/>
      <c r="D29" s="1945"/>
      <c r="E29" s="849"/>
      <c r="F29" s="850"/>
      <c r="G29" s="851"/>
      <c r="H29" s="569"/>
      <c r="I29" s="170"/>
      <c r="J29" s="570"/>
      <c r="K29" s="826"/>
    </row>
    <row r="30" spans="1:11" ht="19.5" customHeight="1">
      <c r="A30" s="852" t="s">
        <v>1287</v>
      </c>
      <c r="B30" s="1961" t="s">
        <v>464</v>
      </c>
      <c r="C30" s="1796" t="s">
        <v>464</v>
      </c>
      <c r="D30" s="1962" t="s">
        <v>464</v>
      </c>
      <c r="E30" s="707" t="s">
        <v>464</v>
      </c>
      <c r="F30" s="382" t="s">
        <v>464</v>
      </c>
      <c r="G30" s="798" t="s">
        <v>464</v>
      </c>
      <c r="H30" s="692">
        <f>SUM(H31:H33)</f>
        <v>15180</v>
      </c>
      <c r="I30" s="173">
        <f>(J30*1000)/H30</f>
        <v>58.95915678524374</v>
      </c>
      <c r="J30" s="694">
        <f>SUM(J31:J33)</f>
        <v>895</v>
      </c>
      <c r="K30" s="829" t="s">
        <v>1287</v>
      </c>
    </row>
    <row r="31" spans="1:11" ht="16.5" customHeight="1">
      <c r="A31" s="848" t="s">
        <v>1273</v>
      </c>
      <c r="B31" s="1961" t="s">
        <v>464</v>
      </c>
      <c r="C31" s="1796" t="s">
        <v>464</v>
      </c>
      <c r="D31" s="1962" t="s">
        <v>464</v>
      </c>
      <c r="E31" s="707" t="s">
        <v>464</v>
      </c>
      <c r="F31" s="382" t="s">
        <v>464</v>
      </c>
      <c r="G31" s="798" t="s">
        <v>464</v>
      </c>
      <c r="H31" s="569">
        <v>5740</v>
      </c>
      <c r="I31" s="382" t="s">
        <v>464</v>
      </c>
      <c r="J31" s="798" t="s">
        <v>464</v>
      </c>
      <c r="K31" s="826" t="s">
        <v>1273</v>
      </c>
    </row>
    <row r="32" spans="1:11" ht="16.5" customHeight="1">
      <c r="A32" s="848" t="s">
        <v>596</v>
      </c>
      <c r="B32" s="1961" t="s">
        <v>464</v>
      </c>
      <c r="C32" s="1796" t="s">
        <v>464</v>
      </c>
      <c r="D32" s="1962" t="s">
        <v>464</v>
      </c>
      <c r="E32" s="707" t="s">
        <v>464</v>
      </c>
      <c r="F32" s="382" t="s">
        <v>464</v>
      </c>
      <c r="G32" s="798" t="s">
        <v>464</v>
      </c>
      <c r="H32" s="569">
        <v>3000</v>
      </c>
      <c r="I32" s="169">
        <f>(J32*1000)/H32</f>
        <v>148.33333333333334</v>
      </c>
      <c r="J32" s="570">
        <v>445</v>
      </c>
      <c r="K32" s="826" t="s">
        <v>596</v>
      </c>
    </row>
    <row r="33" spans="1:11" ht="16.5" customHeight="1" thickBot="1">
      <c r="A33" s="856" t="s">
        <v>595</v>
      </c>
      <c r="B33" s="2189" t="s">
        <v>464</v>
      </c>
      <c r="C33" s="2190" t="s">
        <v>464</v>
      </c>
      <c r="D33" s="2191" t="s">
        <v>464</v>
      </c>
      <c r="E33" s="867" t="s">
        <v>464</v>
      </c>
      <c r="F33" s="383" t="s">
        <v>464</v>
      </c>
      <c r="G33" s="833" t="s">
        <v>464</v>
      </c>
      <c r="H33" s="571">
        <v>6440</v>
      </c>
      <c r="I33" s="195">
        <f>(J33*1000)/H33</f>
        <v>69.87577639751552</v>
      </c>
      <c r="J33" s="572">
        <v>450</v>
      </c>
      <c r="K33" s="834" t="s">
        <v>595</v>
      </c>
    </row>
    <row r="34" spans="1:11" ht="15.75">
      <c r="A34" s="162"/>
      <c r="B34" s="217"/>
      <c r="C34" s="217"/>
      <c r="D34" s="217"/>
      <c r="E34" s="217"/>
      <c r="F34" s="217"/>
      <c r="G34" s="217"/>
      <c r="H34" s="162"/>
      <c r="I34" s="162"/>
      <c r="J34" s="162"/>
      <c r="K34" s="566"/>
    </row>
    <row r="35" spans="1:11" ht="15.75" hidden="1">
      <c r="A35" s="162"/>
      <c r="B35" s="217"/>
      <c r="C35" s="217"/>
      <c r="D35" s="217"/>
      <c r="E35" s="217"/>
      <c r="F35" s="217"/>
      <c r="G35" s="217"/>
      <c r="H35" s="162"/>
      <c r="I35" s="162"/>
      <c r="J35" s="162"/>
      <c r="K35" s="566"/>
    </row>
    <row r="36" spans="1:11" ht="15.75" hidden="1">
      <c r="A36" s="162"/>
      <c r="B36" s="217"/>
      <c r="C36" s="217"/>
      <c r="D36" s="217"/>
      <c r="E36" s="217"/>
      <c r="F36" s="217"/>
      <c r="G36" s="217"/>
      <c r="H36" s="162"/>
      <c r="I36" s="162"/>
      <c r="J36" s="162"/>
      <c r="K36" s="566"/>
    </row>
    <row r="37" spans="1:11" ht="15.75" hidden="1">
      <c r="A37" s="162"/>
      <c r="B37" s="217"/>
      <c r="C37" s="217"/>
      <c r="D37" s="217"/>
      <c r="E37" s="217"/>
      <c r="F37" s="217"/>
      <c r="G37" s="217"/>
      <c r="H37" s="162"/>
      <c r="I37" s="162"/>
      <c r="J37" s="162"/>
      <c r="K37" s="566"/>
    </row>
    <row r="38" ht="15.75" hidden="1"/>
    <row r="39" ht="15.75" hidden="1"/>
    <row r="40" ht="15.75" hidden="1"/>
    <row r="41" ht="16.5" thickBot="1"/>
    <row r="42" spans="1:11" ht="19.5" thickBot="1">
      <c r="A42" s="198"/>
      <c r="B42" s="2853" t="s">
        <v>1465</v>
      </c>
      <c r="C42" s="2854"/>
      <c r="D42" s="2855"/>
      <c r="E42" s="2853" t="s">
        <v>1251</v>
      </c>
      <c r="F42" s="2854"/>
      <c r="G42" s="2855"/>
      <c r="H42" s="2856"/>
      <c r="I42" s="2857"/>
      <c r="J42" s="2858"/>
      <c r="K42" s="193"/>
    </row>
    <row r="43" spans="1:11" ht="19.5">
      <c r="A43" s="185" t="s">
        <v>566</v>
      </c>
      <c r="B43" s="186" t="s">
        <v>567</v>
      </c>
      <c r="C43" s="186" t="s">
        <v>568</v>
      </c>
      <c r="D43" s="186" t="s">
        <v>569</v>
      </c>
      <c r="E43" s="186" t="s">
        <v>567</v>
      </c>
      <c r="F43" s="186" t="s">
        <v>568</v>
      </c>
      <c r="G43" s="186" t="s">
        <v>569</v>
      </c>
      <c r="H43" s="186" t="s">
        <v>567</v>
      </c>
      <c r="I43" s="186" t="s">
        <v>568</v>
      </c>
      <c r="J43" s="186" t="s">
        <v>569</v>
      </c>
      <c r="K43" s="187" t="s">
        <v>570</v>
      </c>
    </row>
    <row r="44" spans="1:11" s="219" customFormat="1" ht="18.75">
      <c r="A44" s="194" t="s">
        <v>571</v>
      </c>
      <c r="B44" s="188" t="s">
        <v>572</v>
      </c>
      <c r="C44" s="188" t="s">
        <v>573</v>
      </c>
      <c r="D44" s="188" t="s">
        <v>610</v>
      </c>
      <c r="E44" s="188" t="s">
        <v>572</v>
      </c>
      <c r="F44" s="188" t="s">
        <v>573</v>
      </c>
      <c r="G44" s="188" t="s">
        <v>610</v>
      </c>
      <c r="H44" s="188" t="s">
        <v>572</v>
      </c>
      <c r="I44" s="188" t="s">
        <v>573</v>
      </c>
      <c r="J44" s="188" t="s">
        <v>610</v>
      </c>
      <c r="K44" s="194" t="s">
        <v>575</v>
      </c>
    </row>
    <row r="45" spans="1:11" ht="19.5" thickBot="1">
      <c r="A45" s="581"/>
      <c r="B45" s="532" t="s">
        <v>444</v>
      </c>
      <c r="C45" s="532" t="s">
        <v>576</v>
      </c>
      <c r="D45" s="532" t="s">
        <v>577</v>
      </c>
      <c r="E45" s="532" t="s">
        <v>444</v>
      </c>
      <c r="F45" s="532" t="s">
        <v>576</v>
      </c>
      <c r="G45" s="532" t="s">
        <v>577</v>
      </c>
      <c r="H45" s="532" t="s">
        <v>444</v>
      </c>
      <c r="I45" s="532" t="s">
        <v>576</v>
      </c>
      <c r="J45" s="532" t="s">
        <v>577</v>
      </c>
      <c r="K45" s="736"/>
    </row>
    <row r="46" spans="1:11" s="214" customFormat="1" ht="20.25" thickBot="1">
      <c r="A46" s="815" t="s">
        <v>578</v>
      </c>
      <c r="B46" s="869" t="s">
        <v>464</v>
      </c>
      <c r="C46" s="868" t="s">
        <v>464</v>
      </c>
      <c r="D46" s="870" t="s">
        <v>464</v>
      </c>
      <c r="E46" s="182">
        <f>SUM(E47+E52+E59+E65+E69)</f>
        <v>9807</v>
      </c>
      <c r="F46" s="183">
        <f>(G46*1000)/E46</f>
        <v>80.3507698582645</v>
      </c>
      <c r="G46" s="184">
        <f>SUM(G59+G69+G65+G52)</f>
        <v>788</v>
      </c>
      <c r="H46" s="835" t="s">
        <v>464</v>
      </c>
      <c r="I46" s="836" t="s">
        <v>464</v>
      </c>
      <c r="J46" s="837" t="s">
        <v>464</v>
      </c>
      <c r="K46" s="871" t="s">
        <v>579</v>
      </c>
    </row>
    <row r="47" spans="1:11" s="214" customFormat="1" ht="18.75" customHeight="1">
      <c r="A47" s="840" t="s">
        <v>580</v>
      </c>
      <c r="B47" s="790" t="s">
        <v>464</v>
      </c>
      <c r="C47" s="791" t="s">
        <v>464</v>
      </c>
      <c r="D47" s="792" t="s">
        <v>464</v>
      </c>
      <c r="E47" s="934">
        <f>SUM(E48:E50)</f>
        <v>1210</v>
      </c>
      <c r="F47" s="1964" t="s">
        <v>464</v>
      </c>
      <c r="G47" s="1965" t="s">
        <v>464</v>
      </c>
      <c r="H47" s="790" t="s">
        <v>464</v>
      </c>
      <c r="I47" s="791" t="s">
        <v>464</v>
      </c>
      <c r="J47" s="792" t="s">
        <v>464</v>
      </c>
      <c r="K47" s="820" t="s">
        <v>581</v>
      </c>
    </row>
    <row r="48" spans="1:11" ht="16.5" customHeight="1">
      <c r="A48" s="844" t="s">
        <v>582</v>
      </c>
      <c r="B48" s="707" t="s">
        <v>464</v>
      </c>
      <c r="C48" s="382" t="s">
        <v>464</v>
      </c>
      <c r="D48" s="798" t="s">
        <v>464</v>
      </c>
      <c r="E48" s="864">
        <v>550</v>
      </c>
      <c r="F48" s="1796" t="s">
        <v>464</v>
      </c>
      <c r="G48" s="865" t="s">
        <v>464</v>
      </c>
      <c r="H48" s="707" t="s">
        <v>464</v>
      </c>
      <c r="I48" s="382" t="s">
        <v>464</v>
      </c>
      <c r="J48" s="798" t="s">
        <v>464</v>
      </c>
      <c r="K48" s="826" t="s">
        <v>583</v>
      </c>
    </row>
    <row r="49" spans="1:11" ht="16.5" customHeight="1">
      <c r="A49" s="844" t="s">
        <v>584</v>
      </c>
      <c r="B49" s="707" t="s">
        <v>464</v>
      </c>
      <c r="C49" s="382" t="s">
        <v>464</v>
      </c>
      <c r="D49" s="798" t="s">
        <v>464</v>
      </c>
      <c r="E49" s="864">
        <v>250</v>
      </c>
      <c r="F49" s="1796" t="s">
        <v>464</v>
      </c>
      <c r="G49" s="865" t="s">
        <v>464</v>
      </c>
      <c r="H49" s="707" t="s">
        <v>464</v>
      </c>
      <c r="I49" s="382" t="s">
        <v>464</v>
      </c>
      <c r="J49" s="798" t="s">
        <v>464</v>
      </c>
      <c r="K49" s="826" t="s">
        <v>584</v>
      </c>
    </row>
    <row r="50" spans="1:11" ht="16.5" customHeight="1">
      <c r="A50" s="844" t="s">
        <v>585</v>
      </c>
      <c r="B50" s="707" t="s">
        <v>464</v>
      </c>
      <c r="C50" s="382" t="s">
        <v>464</v>
      </c>
      <c r="D50" s="798" t="s">
        <v>464</v>
      </c>
      <c r="E50" s="864">
        <v>410</v>
      </c>
      <c r="F50" s="1796" t="s">
        <v>464</v>
      </c>
      <c r="G50" s="865" t="s">
        <v>464</v>
      </c>
      <c r="H50" s="707" t="s">
        <v>464</v>
      </c>
      <c r="I50" s="382" t="s">
        <v>464</v>
      </c>
      <c r="J50" s="798" t="s">
        <v>464</v>
      </c>
      <c r="K50" s="826" t="s">
        <v>585</v>
      </c>
    </row>
    <row r="51" spans="1:11" ht="16.5" customHeight="1">
      <c r="A51" s="844"/>
      <c r="B51" s="821"/>
      <c r="C51" s="822"/>
      <c r="D51" s="823"/>
      <c r="E51" s="936"/>
      <c r="F51" s="172"/>
      <c r="G51" s="935"/>
      <c r="H51" s="824"/>
      <c r="I51" s="169"/>
      <c r="J51" s="825"/>
      <c r="K51" s="826"/>
    </row>
    <row r="52" spans="1:11" ht="19.5" customHeight="1">
      <c r="A52" s="847" t="s">
        <v>588</v>
      </c>
      <c r="B52" s="707" t="s">
        <v>464</v>
      </c>
      <c r="C52" s="382" t="s">
        <v>464</v>
      </c>
      <c r="D52" s="798" t="s">
        <v>464</v>
      </c>
      <c r="E52" s="938">
        <f>SUM(E53:E58)</f>
        <v>2960</v>
      </c>
      <c r="F52" s="939">
        <f>(G52*1000)/E52</f>
        <v>99.66216216216216</v>
      </c>
      <c r="G52" s="1963">
        <f>SUM(G53:G57)</f>
        <v>295</v>
      </c>
      <c r="H52" s="707" t="s">
        <v>464</v>
      </c>
      <c r="I52" s="382" t="s">
        <v>464</v>
      </c>
      <c r="J52" s="798" t="s">
        <v>464</v>
      </c>
      <c r="K52" s="829" t="s">
        <v>589</v>
      </c>
    </row>
    <row r="53" spans="1:11" ht="16.5" customHeight="1">
      <c r="A53" s="844" t="s">
        <v>590</v>
      </c>
      <c r="B53" s="707" t="s">
        <v>464</v>
      </c>
      <c r="C53" s="382" t="s">
        <v>464</v>
      </c>
      <c r="D53" s="798" t="s">
        <v>464</v>
      </c>
      <c r="E53" s="864">
        <v>460</v>
      </c>
      <c r="F53" s="1796" t="s">
        <v>464</v>
      </c>
      <c r="G53" s="865" t="s">
        <v>464</v>
      </c>
      <c r="H53" s="707" t="s">
        <v>464</v>
      </c>
      <c r="I53" s="382" t="s">
        <v>464</v>
      </c>
      <c r="J53" s="798" t="s">
        <v>464</v>
      </c>
      <c r="K53" s="826" t="s">
        <v>591</v>
      </c>
    </row>
    <row r="54" spans="1:11" s="214" customFormat="1" ht="16.5" customHeight="1">
      <c r="A54" s="844" t="s">
        <v>592</v>
      </c>
      <c r="B54" s="707" t="s">
        <v>464</v>
      </c>
      <c r="C54" s="382" t="s">
        <v>464</v>
      </c>
      <c r="D54" s="798" t="s">
        <v>464</v>
      </c>
      <c r="E54" s="864">
        <v>130</v>
      </c>
      <c r="F54" s="172">
        <f>(G54*1000)/E54</f>
        <v>192.30769230769232</v>
      </c>
      <c r="G54" s="865">
        <v>25</v>
      </c>
      <c r="H54" s="707" t="s">
        <v>464</v>
      </c>
      <c r="I54" s="382" t="s">
        <v>464</v>
      </c>
      <c r="J54" s="798" t="s">
        <v>464</v>
      </c>
      <c r="K54" s="826" t="s">
        <v>593</v>
      </c>
    </row>
    <row r="55" spans="1:11" ht="16.5" customHeight="1">
      <c r="A55" s="844" t="s">
        <v>594</v>
      </c>
      <c r="B55" s="707" t="s">
        <v>464</v>
      </c>
      <c r="C55" s="382" t="s">
        <v>464</v>
      </c>
      <c r="D55" s="798" t="s">
        <v>464</v>
      </c>
      <c r="E55" s="864">
        <v>1980</v>
      </c>
      <c r="F55" s="172">
        <f>(G55*1000)/E55</f>
        <v>113.63636363636364</v>
      </c>
      <c r="G55" s="865">
        <v>225</v>
      </c>
      <c r="H55" s="707" t="s">
        <v>464</v>
      </c>
      <c r="I55" s="382" t="s">
        <v>464</v>
      </c>
      <c r="J55" s="798" t="s">
        <v>464</v>
      </c>
      <c r="K55" s="826" t="s">
        <v>594</v>
      </c>
    </row>
    <row r="56" spans="1:11" ht="16.5" customHeight="1">
      <c r="A56" s="844" t="s">
        <v>599</v>
      </c>
      <c r="B56" s="707" t="s">
        <v>464</v>
      </c>
      <c r="C56" s="382" t="s">
        <v>464</v>
      </c>
      <c r="D56" s="798" t="s">
        <v>464</v>
      </c>
      <c r="E56" s="936">
        <v>150</v>
      </c>
      <c r="F56" s="1796" t="s">
        <v>464</v>
      </c>
      <c r="G56" s="865" t="s">
        <v>464</v>
      </c>
      <c r="H56" s="707" t="s">
        <v>464</v>
      </c>
      <c r="I56" s="382" t="s">
        <v>464</v>
      </c>
      <c r="J56" s="798" t="s">
        <v>464</v>
      </c>
      <c r="K56" s="826" t="s">
        <v>599</v>
      </c>
    </row>
    <row r="57" spans="1:11" ht="16.5" customHeight="1">
      <c r="A57" s="844" t="s">
        <v>598</v>
      </c>
      <c r="B57" s="707" t="s">
        <v>464</v>
      </c>
      <c r="C57" s="382" t="s">
        <v>464</v>
      </c>
      <c r="D57" s="798" t="s">
        <v>464</v>
      </c>
      <c r="E57" s="936">
        <v>240</v>
      </c>
      <c r="F57" s="172">
        <f>(G57*1000)/E57</f>
        <v>187.5</v>
      </c>
      <c r="G57" s="865">
        <v>45</v>
      </c>
      <c r="H57" s="707" t="s">
        <v>464</v>
      </c>
      <c r="I57" s="382" t="s">
        <v>464</v>
      </c>
      <c r="J57" s="798" t="s">
        <v>464</v>
      </c>
      <c r="K57" s="826" t="s">
        <v>598</v>
      </c>
    </row>
    <row r="58" spans="1:11" ht="16.5" customHeight="1">
      <c r="A58" s="848"/>
      <c r="B58" s="849"/>
      <c r="C58" s="850"/>
      <c r="D58" s="851"/>
      <c r="E58" s="936"/>
      <c r="F58" s="941"/>
      <c r="G58" s="940"/>
      <c r="H58" s="849"/>
      <c r="I58" s="850"/>
      <c r="J58" s="851"/>
      <c r="K58" s="826"/>
    </row>
    <row r="59" spans="1:11" ht="19.5" customHeight="1">
      <c r="A59" s="847" t="s">
        <v>601</v>
      </c>
      <c r="B59" s="707" t="s">
        <v>464</v>
      </c>
      <c r="C59" s="382" t="s">
        <v>464</v>
      </c>
      <c r="D59" s="798" t="s">
        <v>464</v>
      </c>
      <c r="E59" s="938">
        <f>SUM(E60:E63)</f>
        <v>1095</v>
      </c>
      <c r="F59" s="939">
        <f>(G59*1000)/E59</f>
        <v>74.88584474885845</v>
      </c>
      <c r="G59" s="937">
        <f>SUM(G60:G63)</f>
        <v>82</v>
      </c>
      <c r="H59" s="707" t="s">
        <v>464</v>
      </c>
      <c r="I59" s="382" t="s">
        <v>464</v>
      </c>
      <c r="J59" s="798" t="s">
        <v>464</v>
      </c>
      <c r="K59" s="829" t="s">
        <v>602</v>
      </c>
    </row>
    <row r="60" spans="1:11" ht="16.5" customHeight="1">
      <c r="A60" s="844" t="s">
        <v>603</v>
      </c>
      <c r="B60" s="707" t="s">
        <v>464</v>
      </c>
      <c r="C60" s="382" t="s">
        <v>464</v>
      </c>
      <c r="D60" s="798" t="s">
        <v>464</v>
      </c>
      <c r="E60" s="864" t="s">
        <v>464</v>
      </c>
      <c r="F60" s="1796" t="s">
        <v>464</v>
      </c>
      <c r="G60" s="1796" t="s">
        <v>464</v>
      </c>
      <c r="H60" s="707" t="s">
        <v>464</v>
      </c>
      <c r="I60" s="382" t="s">
        <v>464</v>
      </c>
      <c r="J60" s="798" t="s">
        <v>464</v>
      </c>
      <c r="K60" s="826" t="s">
        <v>604</v>
      </c>
    </row>
    <row r="61" spans="1:11" ht="16.5" customHeight="1">
      <c r="A61" s="844" t="s">
        <v>605</v>
      </c>
      <c r="B61" s="707" t="s">
        <v>464</v>
      </c>
      <c r="C61" s="382" t="s">
        <v>464</v>
      </c>
      <c r="D61" s="798" t="s">
        <v>464</v>
      </c>
      <c r="E61" s="864" t="s">
        <v>464</v>
      </c>
      <c r="F61" s="1796" t="s">
        <v>464</v>
      </c>
      <c r="G61" s="1796" t="s">
        <v>464</v>
      </c>
      <c r="H61" s="707" t="s">
        <v>464</v>
      </c>
      <c r="I61" s="382" t="s">
        <v>464</v>
      </c>
      <c r="J61" s="798" t="s">
        <v>464</v>
      </c>
      <c r="K61" s="826" t="s">
        <v>606</v>
      </c>
    </row>
    <row r="62" spans="1:11" ht="16.5" customHeight="1">
      <c r="A62" s="844" t="s">
        <v>607</v>
      </c>
      <c r="B62" s="707" t="s">
        <v>464</v>
      </c>
      <c r="C62" s="382" t="s">
        <v>464</v>
      </c>
      <c r="D62" s="798" t="s">
        <v>464</v>
      </c>
      <c r="E62" s="936">
        <v>745</v>
      </c>
      <c r="F62" s="172">
        <f>(G62*1000)/E62</f>
        <v>49.66442953020134</v>
      </c>
      <c r="G62" s="935">
        <v>37</v>
      </c>
      <c r="H62" s="707" t="s">
        <v>464</v>
      </c>
      <c r="I62" s="382" t="s">
        <v>464</v>
      </c>
      <c r="J62" s="798" t="s">
        <v>464</v>
      </c>
      <c r="K62" s="826" t="s">
        <v>607</v>
      </c>
    </row>
    <row r="63" spans="1:11" ht="16.5" customHeight="1">
      <c r="A63" s="844" t="s">
        <v>608</v>
      </c>
      <c r="B63" s="707" t="s">
        <v>464</v>
      </c>
      <c r="C63" s="382" t="s">
        <v>464</v>
      </c>
      <c r="D63" s="798" t="s">
        <v>464</v>
      </c>
      <c r="E63" s="936">
        <v>350</v>
      </c>
      <c r="F63" s="172">
        <f>(G63*1000)/E63</f>
        <v>128.57142857142858</v>
      </c>
      <c r="G63" s="935">
        <v>45</v>
      </c>
      <c r="H63" s="707" t="s">
        <v>464</v>
      </c>
      <c r="I63" s="382" t="s">
        <v>464</v>
      </c>
      <c r="J63" s="798" t="s">
        <v>464</v>
      </c>
      <c r="K63" s="826" t="s">
        <v>608</v>
      </c>
    </row>
    <row r="64" spans="1:11" s="214" customFormat="1" ht="16.5" customHeight="1">
      <c r="A64" s="852"/>
      <c r="B64" s="853"/>
      <c r="C64" s="854"/>
      <c r="D64" s="855"/>
      <c r="E64" s="938"/>
      <c r="F64" s="944"/>
      <c r="G64" s="943"/>
      <c r="H64" s="853"/>
      <c r="I64" s="854"/>
      <c r="J64" s="855"/>
      <c r="K64" s="830"/>
    </row>
    <row r="65" spans="1:11" ht="21.75" customHeight="1">
      <c r="A65" s="852" t="s">
        <v>1286</v>
      </c>
      <c r="B65" s="707" t="s">
        <v>464</v>
      </c>
      <c r="C65" s="382" t="s">
        <v>464</v>
      </c>
      <c r="D65" s="798" t="s">
        <v>464</v>
      </c>
      <c r="E65" s="938">
        <f>SUM(E66:E67)</f>
        <v>182</v>
      </c>
      <c r="F65" s="939">
        <f>(G65*1000)/E65</f>
        <v>32.967032967032964</v>
      </c>
      <c r="G65" s="1963">
        <f>SUM(G66:G67)</f>
        <v>6</v>
      </c>
      <c r="H65" s="707" t="s">
        <v>464</v>
      </c>
      <c r="I65" s="382" t="s">
        <v>464</v>
      </c>
      <c r="J65" s="798" t="s">
        <v>464</v>
      </c>
      <c r="K65" s="829" t="s">
        <v>1286</v>
      </c>
    </row>
    <row r="66" spans="1:11" ht="16.5" customHeight="1">
      <c r="A66" s="848" t="s">
        <v>586</v>
      </c>
      <c r="B66" s="707" t="s">
        <v>464</v>
      </c>
      <c r="C66" s="382" t="s">
        <v>464</v>
      </c>
      <c r="D66" s="798" t="s">
        <v>464</v>
      </c>
      <c r="E66" s="864">
        <v>120</v>
      </c>
      <c r="F66" s="172">
        <f>(G66*1000)/E66</f>
        <v>50</v>
      </c>
      <c r="G66" s="865">
        <v>6</v>
      </c>
      <c r="H66" s="707" t="s">
        <v>464</v>
      </c>
      <c r="I66" s="382" t="s">
        <v>464</v>
      </c>
      <c r="J66" s="798" t="s">
        <v>464</v>
      </c>
      <c r="K66" s="826" t="s">
        <v>586</v>
      </c>
    </row>
    <row r="67" spans="1:11" ht="16.5" customHeight="1">
      <c r="A67" s="848" t="s">
        <v>587</v>
      </c>
      <c r="B67" s="707" t="s">
        <v>464</v>
      </c>
      <c r="C67" s="382" t="s">
        <v>464</v>
      </c>
      <c r="D67" s="798" t="s">
        <v>464</v>
      </c>
      <c r="E67" s="864">
        <v>62</v>
      </c>
      <c r="F67" s="382" t="s">
        <v>464</v>
      </c>
      <c r="G67" s="798" t="s">
        <v>464</v>
      </c>
      <c r="H67" s="707" t="s">
        <v>464</v>
      </c>
      <c r="I67" s="382" t="s">
        <v>464</v>
      </c>
      <c r="J67" s="798" t="s">
        <v>464</v>
      </c>
      <c r="K67" s="826" t="s">
        <v>587</v>
      </c>
    </row>
    <row r="68" spans="1:11" ht="16.5" customHeight="1">
      <c r="A68" s="848"/>
      <c r="B68" s="849"/>
      <c r="C68" s="850"/>
      <c r="D68" s="851"/>
      <c r="E68" s="936"/>
      <c r="F68" s="941"/>
      <c r="G68" s="940"/>
      <c r="H68" s="849"/>
      <c r="I68" s="850"/>
      <c r="J68" s="851"/>
      <c r="K68" s="826"/>
    </row>
    <row r="69" spans="1:11" ht="21.75" customHeight="1">
      <c r="A69" s="852" t="s">
        <v>1287</v>
      </c>
      <c r="B69" s="707" t="s">
        <v>464</v>
      </c>
      <c r="C69" s="382" t="s">
        <v>464</v>
      </c>
      <c r="D69" s="798" t="s">
        <v>464</v>
      </c>
      <c r="E69" s="938">
        <f>SUM(E70:E72)</f>
        <v>4360</v>
      </c>
      <c r="F69" s="939">
        <f>(G69*1000)/E69</f>
        <v>92.88990825688073</v>
      </c>
      <c r="G69" s="943">
        <f>SUM(G70:G72)</f>
        <v>405</v>
      </c>
      <c r="H69" s="707" t="s">
        <v>464</v>
      </c>
      <c r="I69" s="382" t="s">
        <v>464</v>
      </c>
      <c r="J69" s="798" t="s">
        <v>464</v>
      </c>
      <c r="K69" s="829" t="s">
        <v>1287</v>
      </c>
    </row>
    <row r="70" spans="1:11" ht="16.5" customHeight="1">
      <c r="A70" s="848" t="s">
        <v>1273</v>
      </c>
      <c r="B70" s="707" t="s">
        <v>464</v>
      </c>
      <c r="C70" s="382" t="s">
        <v>464</v>
      </c>
      <c r="D70" s="798" t="s">
        <v>464</v>
      </c>
      <c r="E70" s="864">
        <v>800</v>
      </c>
      <c r="F70" s="1796" t="s">
        <v>464</v>
      </c>
      <c r="G70" s="865" t="s">
        <v>464</v>
      </c>
      <c r="H70" s="707" t="s">
        <v>464</v>
      </c>
      <c r="I70" s="382" t="s">
        <v>464</v>
      </c>
      <c r="J70" s="798" t="s">
        <v>464</v>
      </c>
      <c r="K70" s="826" t="s">
        <v>1273</v>
      </c>
    </row>
    <row r="71" spans="1:11" ht="16.5" customHeight="1">
      <c r="A71" s="848" t="s">
        <v>596</v>
      </c>
      <c r="B71" s="707" t="s">
        <v>464</v>
      </c>
      <c r="C71" s="382" t="s">
        <v>464</v>
      </c>
      <c r="D71" s="798" t="s">
        <v>464</v>
      </c>
      <c r="E71" s="936">
        <v>2050</v>
      </c>
      <c r="F71" s="172">
        <f>(G71*1000)/E71</f>
        <v>151.21951219512195</v>
      </c>
      <c r="G71" s="940">
        <v>310</v>
      </c>
      <c r="H71" s="707" t="s">
        <v>464</v>
      </c>
      <c r="I71" s="382" t="s">
        <v>464</v>
      </c>
      <c r="J71" s="798" t="s">
        <v>464</v>
      </c>
      <c r="K71" s="826" t="s">
        <v>596</v>
      </c>
    </row>
    <row r="72" spans="1:11" ht="16.5" customHeight="1" thickBot="1">
      <c r="A72" s="856" t="s">
        <v>595</v>
      </c>
      <c r="B72" s="867" t="s">
        <v>464</v>
      </c>
      <c r="C72" s="383" t="s">
        <v>464</v>
      </c>
      <c r="D72" s="833" t="s">
        <v>464</v>
      </c>
      <c r="E72" s="946">
        <v>1510</v>
      </c>
      <c r="F72" s="947">
        <f>(G72*1000)/E72</f>
        <v>62.913907284768214</v>
      </c>
      <c r="G72" s="945">
        <v>95</v>
      </c>
      <c r="H72" s="867" t="s">
        <v>464</v>
      </c>
      <c r="I72" s="383" t="s">
        <v>464</v>
      </c>
      <c r="J72" s="833" t="s">
        <v>464</v>
      </c>
      <c r="K72" s="834" t="s">
        <v>595</v>
      </c>
    </row>
  </sheetData>
  <sheetProtection/>
  <mergeCells count="6">
    <mergeCell ref="B3:D3"/>
    <mergeCell ref="E3:G3"/>
    <mergeCell ref="H3:J3"/>
    <mergeCell ref="B42:D42"/>
    <mergeCell ref="E42:G42"/>
    <mergeCell ref="H42:J42"/>
  </mergeCells>
  <printOptions/>
  <pageMargins left="0.93" right="0.984251968503937" top="0.984251968503937" bottom="0.984251968503937" header="0.5118110236220472" footer="0.5118110236220472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="68" zoomScaleNormal="68" zoomScalePageLayoutView="0" workbookViewId="0" topLeftCell="A13">
      <selection activeCell="J14" sqref="J14"/>
    </sheetView>
  </sheetViews>
  <sheetFormatPr defaultColWidth="9.140625" defaultRowHeight="12.75"/>
  <cols>
    <col min="1" max="1" width="19.140625" style="304" customWidth="1"/>
    <col min="2" max="2" width="9.140625" style="304" customWidth="1"/>
    <col min="3" max="3" width="20.57421875" style="304" customWidth="1"/>
    <col min="4" max="4" width="9.140625" style="304" customWidth="1"/>
    <col min="5" max="5" width="18.8515625" style="304" customWidth="1"/>
    <col min="6" max="6" width="9.7109375" style="304" customWidth="1"/>
    <col min="7" max="7" width="18.421875" style="304" customWidth="1"/>
    <col min="8" max="8" width="20.140625" style="575" customWidth="1"/>
    <col min="9" max="9" width="9.140625" style="304" customWidth="1"/>
    <col min="10" max="10" width="16.8515625" style="304" customWidth="1"/>
    <col min="11" max="16384" width="9.140625" style="304" customWidth="1"/>
  </cols>
  <sheetData>
    <row r="1" spans="1:3" ht="18.75">
      <c r="A1" s="190" t="s">
        <v>609</v>
      </c>
      <c r="C1" s="160"/>
    </row>
    <row r="2" ht="16.5" thickBot="1">
      <c r="C2" s="160"/>
    </row>
    <row r="3" spans="1:8" ht="19.5" thickBot="1">
      <c r="A3" s="198"/>
      <c r="B3" s="1629" t="s">
        <v>1214</v>
      </c>
      <c r="C3" s="801"/>
      <c r="D3" s="1629" t="s">
        <v>425</v>
      </c>
      <c r="E3" s="200"/>
      <c r="F3" s="1629" t="s">
        <v>1527</v>
      </c>
      <c r="G3" s="200"/>
      <c r="H3" s="872"/>
    </row>
    <row r="4" spans="1:8" ht="19.5">
      <c r="A4" s="185" t="s">
        <v>566</v>
      </c>
      <c r="B4" s="198" t="s">
        <v>621</v>
      </c>
      <c r="C4" s="186" t="s">
        <v>569</v>
      </c>
      <c r="D4" s="198" t="s">
        <v>648</v>
      </c>
      <c r="E4" s="198" t="s">
        <v>569</v>
      </c>
      <c r="F4" s="198" t="s">
        <v>648</v>
      </c>
      <c r="G4" s="198" t="s">
        <v>569</v>
      </c>
      <c r="H4" s="873" t="s">
        <v>570</v>
      </c>
    </row>
    <row r="5" spans="1:8" s="575" customFormat="1" ht="18.75">
      <c r="A5" s="185" t="s">
        <v>571</v>
      </c>
      <c r="B5" s="194" t="s">
        <v>572</v>
      </c>
      <c r="C5" s="188" t="s">
        <v>574</v>
      </c>
      <c r="D5" s="194" t="s">
        <v>572</v>
      </c>
      <c r="E5" s="194" t="s">
        <v>574</v>
      </c>
      <c r="F5" s="194" t="s">
        <v>572</v>
      </c>
      <c r="G5" s="194" t="s">
        <v>574</v>
      </c>
      <c r="H5" s="194" t="s">
        <v>575</v>
      </c>
    </row>
    <row r="6" spans="1:8" ht="19.5" thickBot="1">
      <c r="A6" s="581"/>
      <c r="B6" s="199" t="s">
        <v>444</v>
      </c>
      <c r="C6" s="189" t="s">
        <v>577</v>
      </c>
      <c r="D6" s="199" t="s">
        <v>444</v>
      </c>
      <c r="E6" s="199" t="s">
        <v>577</v>
      </c>
      <c r="F6" s="199" t="s">
        <v>444</v>
      </c>
      <c r="G6" s="199" t="s">
        <v>577</v>
      </c>
      <c r="H6" s="406"/>
    </row>
    <row r="7" spans="1:8" s="328" customFormat="1" ht="20.25" thickBot="1">
      <c r="A7" s="810" t="s">
        <v>578</v>
      </c>
      <c r="B7" s="2202">
        <f>SUM(B13+B20+B26+B30)</f>
        <v>432</v>
      </c>
      <c r="C7" s="197">
        <f>SUM(C13+C20+C26+C30)</f>
        <v>86</v>
      </c>
      <c r="D7" s="2573">
        <f>SUM(D8+D13+D20+D26+D30)</f>
        <v>548.5</v>
      </c>
      <c r="E7" s="1799">
        <f>SUM(E26+E30+E13)</f>
        <v>119.6</v>
      </c>
      <c r="F7" s="196">
        <f>SUM(F8+F13+F20+F26+F30)</f>
        <v>533</v>
      </c>
      <c r="G7" s="197">
        <f>SUM(G13+G26+G30)</f>
        <v>47</v>
      </c>
      <c r="H7" s="871" t="s">
        <v>579</v>
      </c>
    </row>
    <row r="8" spans="1:8" s="328" customFormat="1" ht="19.5">
      <c r="A8" s="840" t="s">
        <v>580</v>
      </c>
      <c r="B8" s="2192" t="s">
        <v>464</v>
      </c>
      <c r="C8" s="797" t="s">
        <v>464</v>
      </c>
      <c r="D8" s="793">
        <f>SUM(D9:D11)</f>
        <v>2</v>
      </c>
      <c r="E8" s="874" t="s">
        <v>464</v>
      </c>
      <c r="F8" s="794">
        <f>SUM(F9:F11)</f>
        <v>58</v>
      </c>
      <c r="G8" s="874" t="s">
        <v>464</v>
      </c>
      <c r="H8" s="820" t="s">
        <v>581</v>
      </c>
    </row>
    <row r="9" spans="1:8" ht="18.75">
      <c r="A9" s="844" t="s">
        <v>582</v>
      </c>
      <c r="B9" s="2192" t="s">
        <v>464</v>
      </c>
      <c r="C9" s="797" t="s">
        <v>464</v>
      </c>
      <c r="D9" s="799">
        <v>2</v>
      </c>
      <c r="E9" s="797" t="s">
        <v>464</v>
      </c>
      <c r="F9" s="800">
        <v>6</v>
      </c>
      <c r="G9" s="797" t="s">
        <v>464</v>
      </c>
      <c r="H9" s="826" t="s">
        <v>583</v>
      </c>
    </row>
    <row r="10" spans="1:8" ht="18.75">
      <c r="A10" s="844" t="s">
        <v>584</v>
      </c>
      <c r="B10" s="2192" t="s">
        <v>464</v>
      </c>
      <c r="C10" s="797" t="s">
        <v>464</v>
      </c>
      <c r="D10" s="795" t="s">
        <v>464</v>
      </c>
      <c r="E10" s="797" t="s">
        <v>464</v>
      </c>
      <c r="F10" s="795">
        <v>5</v>
      </c>
      <c r="G10" s="797" t="s">
        <v>464</v>
      </c>
      <c r="H10" s="826" t="s">
        <v>584</v>
      </c>
    </row>
    <row r="11" spans="1:8" ht="18.75">
      <c r="A11" s="844" t="s">
        <v>585</v>
      </c>
      <c r="B11" s="2192" t="s">
        <v>464</v>
      </c>
      <c r="C11" s="797" t="s">
        <v>464</v>
      </c>
      <c r="D11" s="795" t="s">
        <v>464</v>
      </c>
      <c r="E11" s="797" t="s">
        <v>464</v>
      </c>
      <c r="F11" s="800">
        <v>47</v>
      </c>
      <c r="G11" s="797" t="s">
        <v>464</v>
      </c>
      <c r="H11" s="826" t="s">
        <v>585</v>
      </c>
    </row>
    <row r="12" spans="1:8" ht="18.75">
      <c r="A12" s="844"/>
      <c r="B12" s="2193"/>
      <c r="C12" s="825"/>
      <c r="D12" s="169"/>
      <c r="E12" s="825"/>
      <c r="F12" s="800"/>
      <c r="G12" s="866"/>
      <c r="H12" s="826"/>
    </row>
    <row r="13" spans="1:8" s="328" customFormat="1" ht="19.5">
      <c r="A13" s="847" t="s">
        <v>588</v>
      </c>
      <c r="B13" s="2240">
        <f>SUM(B14:B18)</f>
        <v>28</v>
      </c>
      <c r="C13" s="874">
        <f>SUM(C16)</f>
        <v>6</v>
      </c>
      <c r="D13" s="1797">
        <f>SUM(D14:D18)</f>
        <v>49</v>
      </c>
      <c r="E13" s="874">
        <f>SUM(E14:E18)</f>
        <v>2</v>
      </c>
      <c r="F13" s="794">
        <f>SUM(F14:F18)</f>
        <v>108</v>
      </c>
      <c r="G13" s="874">
        <f>SUM(G14:G18)</f>
        <v>0</v>
      </c>
      <c r="H13" s="829" t="s">
        <v>589</v>
      </c>
    </row>
    <row r="14" spans="1:8" ht="18.75">
      <c r="A14" s="844" t="s">
        <v>590</v>
      </c>
      <c r="B14" s="2242" t="s">
        <v>464</v>
      </c>
      <c r="C14" s="797" t="s">
        <v>464</v>
      </c>
      <c r="D14" s="795">
        <v>30</v>
      </c>
      <c r="E14" s="797" t="s">
        <v>464</v>
      </c>
      <c r="F14" s="800">
        <v>15</v>
      </c>
      <c r="G14" s="797" t="s">
        <v>464</v>
      </c>
      <c r="H14" s="826" t="s">
        <v>591</v>
      </c>
    </row>
    <row r="15" spans="1:8" s="328" customFormat="1" ht="18.75">
      <c r="A15" s="844" t="s">
        <v>592</v>
      </c>
      <c r="B15" s="2242">
        <v>1</v>
      </c>
      <c r="C15" s="797" t="s">
        <v>464</v>
      </c>
      <c r="D15" s="795" t="s">
        <v>464</v>
      </c>
      <c r="E15" s="797" t="s">
        <v>464</v>
      </c>
      <c r="F15" s="800">
        <v>4</v>
      </c>
      <c r="G15" s="874" t="s">
        <v>464</v>
      </c>
      <c r="H15" s="826" t="s">
        <v>593</v>
      </c>
    </row>
    <row r="16" spans="1:8" ht="18.75">
      <c r="A16" s="844" t="s">
        <v>594</v>
      </c>
      <c r="B16" s="2238">
        <v>27</v>
      </c>
      <c r="C16" s="797">
        <v>6</v>
      </c>
      <c r="D16" s="795">
        <v>15</v>
      </c>
      <c r="E16" s="797">
        <v>2</v>
      </c>
      <c r="F16" s="795">
        <v>20</v>
      </c>
      <c r="G16" s="797"/>
      <c r="H16" s="826" t="s">
        <v>594</v>
      </c>
    </row>
    <row r="17" spans="1:8" ht="18.75">
      <c r="A17" s="844" t="s">
        <v>599</v>
      </c>
      <c r="B17" s="2192" t="s">
        <v>464</v>
      </c>
      <c r="C17" s="797" t="s">
        <v>464</v>
      </c>
      <c r="D17" s="795">
        <f>2+2</f>
        <v>4</v>
      </c>
      <c r="E17" s="797" t="s">
        <v>464</v>
      </c>
      <c r="F17" s="800">
        <f>2+55</f>
        <v>57</v>
      </c>
      <c r="G17" s="797" t="s">
        <v>464</v>
      </c>
      <c r="H17" s="826" t="s">
        <v>599</v>
      </c>
    </row>
    <row r="18" spans="1:8" ht="18.75">
      <c r="A18" s="844" t="s">
        <v>598</v>
      </c>
      <c r="B18" s="2192" t="s">
        <v>464</v>
      </c>
      <c r="C18" s="798" t="s">
        <v>464</v>
      </c>
      <c r="D18" s="796" t="s">
        <v>464</v>
      </c>
      <c r="E18" s="797" t="s">
        <v>464</v>
      </c>
      <c r="F18" s="800">
        <f>7+5</f>
        <v>12</v>
      </c>
      <c r="G18" s="797" t="s">
        <v>464</v>
      </c>
      <c r="H18" s="826" t="s">
        <v>598</v>
      </c>
    </row>
    <row r="19" spans="1:8" ht="18.75">
      <c r="A19" s="848"/>
      <c r="B19" s="2193"/>
      <c r="C19" s="825"/>
      <c r="D19" s="799"/>
      <c r="E19" s="866"/>
      <c r="F19" s="800"/>
      <c r="G19" s="866"/>
      <c r="H19" s="826"/>
    </row>
    <row r="20" spans="1:8" s="328" customFormat="1" ht="19.5">
      <c r="A20" s="847" t="s">
        <v>601</v>
      </c>
      <c r="B20" s="2194">
        <f>SUM(B21:B24)</f>
        <v>36</v>
      </c>
      <c r="C20" s="875">
        <f>SUM(C21:C24)</f>
        <v>5</v>
      </c>
      <c r="D20" s="793">
        <f>SUM(D21:D24)</f>
        <v>24</v>
      </c>
      <c r="E20" s="874" t="s">
        <v>464</v>
      </c>
      <c r="F20" s="794">
        <f>SUM(F21:F24)</f>
        <v>73</v>
      </c>
      <c r="G20" s="874" t="s">
        <v>464</v>
      </c>
      <c r="H20" s="829" t="s">
        <v>602</v>
      </c>
    </row>
    <row r="21" spans="1:8" ht="18.75">
      <c r="A21" s="844" t="s">
        <v>603</v>
      </c>
      <c r="B21" s="2195" t="s">
        <v>464</v>
      </c>
      <c r="C21" s="797" t="s">
        <v>464</v>
      </c>
      <c r="D21" s="795"/>
      <c r="E21" s="797" t="s">
        <v>464</v>
      </c>
      <c r="F21" s="795">
        <v>3</v>
      </c>
      <c r="G21" s="797" t="s">
        <v>464</v>
      </c>
      <c r="H21" s="826" t="s">
        <v>604</v>
      </c>
    </row>
    <row r="22" spans="1:8" ht="18.75">
      <c r="A22" s="844" t="s">
        <v>605</v>
      </c>
      <c r="B22" s="2195">
        <v>1</v>
      </c>
      <c r="C22" s="797" t="s">
        <v>464</v>
      </c>
      <c r="D22" s="799"/>
      <c r="E22" s="797" t="s">
        <v>464</v>
      </c>
      <c r="F22" s="800">
        <v>5</v>
      </c>
      <c r="G22" s="797" t="s">
        <v>464</v>
      </c>
      <c r="H22" s="826" t="s">
        <v>606</v>
      </c>
    </row>
    <row r="23" spans="1:8" ht="18.75">
      <c r="A23" s="844" t="s">
        <v>607</v>
      </c>
      <c r="B23" s="2195" t="s">
        <v>464</v>
      </c>
      <c r="C23" s="797" t="s">
        <v>464</v>
      </c>
      <c r="D23" s="795" t="s">
        <v>464</v>
      </c>
      <c r="E23" s="797" t="s">
        <v>464</v>
      </c>
      <c r="F23" s="795" t="s">
        <v>464</v>
      </c>
      <c r="G23" s="797" t="s">
        <v>464</v>
      </c>
      <c r="H23" s="826" t="s">
        <v>607</v>
      </c>
    </row>
    <row r="24" spans="1:8" ht="18.75">
      <c r="A24" s="844" t="s">
        <v>608</v>
      </c>
      <c r="B24" s="2238">
        <v>35</v>
      </c>
      <c r="C24" s="825">
        <v>5</v>
      </c>
      <c r="D24" s="799">
        <f>23+1</f>
        <v>24</v>
      </c>
      <c r="E24" s="797" t="s">
        <v>464</v>
      </c>
      <c r="F24" s="800">
        <f>2+63</f>
        <v>65</v>
      </c>
      <c r="G24" s="797" t="s">
        <v>464</v>
      </c>
      <c r="H24" s="826" t="s">
        <v>608</v>
      </c>
    </row>
    <row r="25" spans="1:8" s="328" customFormat="1" ht="18.75">
      <c r="A25" s="852"/>
      <c r="B25" s="2194"/>
      <c r="C25" s="875"/>
      <c r="D25" s="793"/>
      <c r="E25" s="875"/>
      <c r="F25" s="794"/>
      <c r="G25" s="875"/>
      <c r="H25" s="830"/>
    </row>
    <row r="26" spans="1:8" s="328" customFormat="1" ht="19.5">
      <c r="A26" s="852" t="s">
        <v>1286</v>
      </c>
      <c r="B26" s="2240">
        <f aca="true" t="shared" si="0" ref="B26:G26">SUM(B27:B28)</f>
        <v>348</v>
      </c>
      <c r="C26" s="875">
        <f t="shared" si="0"/>
        <v>67</v>
      </c>
      <c r="D26" s="793">
        <f t="shared" si="0"/>
        <v>363</v>
      </c>
      <c r="E26" s="875">
        <f t="shared" si="0"/>
        <v>82.6</v>
      </c>
      <c r="F26" s="794">
        <f t="shared" si="0"/>
        <v>241</v>
      </c>
      <c r="G26" s="875">
        <f t="shared" si="0"/>
        <v>22</v>
      </c>
      <c r="H26" s="829" t="s">
        <v>1286</v>
      </c>
    </row>
    <row r="27" spans="1:8" ht="18.75">
      <c r="A27" s="848" t="s">
        <v>586</v>
      </c>
      <c r="B27" s="2238">
        <v>117</v>
      </c>
      <c r="C27" s="866">
        <v>21</v>
      </c>
      <c r="D27" s="799">
        <f>61+21+35+2</f>
        <v>119</v>
      </c>
      <c r="E27" s="2200">
        <f>15+0.1</f>
        <v>15.1</v>
      </c>
      <c r="F27" s="800">
        <v>108</v>
      </c>
      <c r="G27" s="866">
        <v>11</v>
      </c>
      <c r="H27" s="826" t="s">
        <v>586</v>
      </c>
    </row>
    <row r="28" spans="1:8" ht="18.75">
      <c r="A28" s="848" t="s">
        <v>587</v>
      </c>
      <c r="B28" s="2241">
        <v>231</v>
      </c>
      <c r="C28" s="1945">
        <v>46</v>
      </c>
      <c r="D28" s="799">
        <f>123+68+49+4</f>
        <v>244</v>
      </c>
      <c r="E28" s="866">
        <f>67+0.5</f>
        <v>67.5</v>
      </c>
      <c r="F28" s="800">
        <v>133</v>
      </c>
      <c r="G28" s="866">
        <v>11</v>
      </c>
      <c r="H28" s="826" t="s">
        <v>587</v>
      </c>
    </row>
    <row r="29" spans="1:8" ht="18.75">
      <c r="A29" s="848"/>
      <c r="B29" s="2193"/>
      <c r="C29" s="825"/>
      <c r="D29" s="169"/>
      <c r="E29" s="866"/>
      <c r="F29" s="795"/>
      <c r="G29" s="797"/>
      <c r="H29" s="826"/>
    </row>
    <row r="30" spans="1:8" s="328" customFormat="1" ht="19.5">
      <c r="A30" s="852" t="s">
        <v>1287</v>
      </c>
      <c r="B30" s="2194">
        <f aca="true" t="shared" si="1" ref="B30:G30">SUM(B31:B33)</f>
        <v>20</v>
      </c>
      <c r="C30" s="875">
        <f t="shared" si="1"/>
        <v>8</v>
      </c>
      <c r="D30" s="793">
        <f t="shared" si="1"/>
        <v>110.5</v>
      </c>
      <c r="E30" s="875">
        <f t="shared" si="1"/>
        <v>35</v>
      </c>
      <c r="F30" s="794">
        <f t="shared" si="1"/>
        <v>53</v>
      </c>
      <c r="G30" s="875">
        <f t="shared" si="1"/>
        <v>25</v>
      </c>
      <c r="H30" s="829" t="s">
        <v>1287</v>
      </c>
    </row>
    <row r="31" spans="1:8" ht="18.75">
      <c r="A31" s="848" t="s">
        <v>1273</v>
      </c>
      <c r="B31" s="2195" t="s">
        <v>464</v>
      </c>
      <c r="C31" s="797" t="s">
        <v>464</v>
      </c>
      <c r="D31" s="795">
        <f>1+8.5</f>
        <v>9.5</v>
      </c>
      <c r="E31" s="797" t="s">
        <v>464</v>
      </c>
      <c r="F31" s="795">
        <v>1</v>
      </c>
      <c r="G31" s="797" t="s">
        <v>464</v>
      </c>
      <c r="H31" s="826" t="s">
        <v>1273</v>
      </c>
    </row>
    <row r="32" spans="1:8" ht="18.75">
      <c r="A32" s="848" t="s">
        <v>596</v>
      </c>
      <c r="B32" s="2238">
        <v>1</v>
      </c>
      <c r="C32" s="797" t="s">
        <v>464</v>
      </c>
      <c r="D32" s="795" t="s">
        <v>464</v>
      </c>
      <c r="E32" s="797" t="s">
        <v>464</v>
      </c>
      <c r="F32" s="800">
        <f>6+2</f>
        <v>8</v>
      </c>
      <c r="G32" s="866">
        <v>2</v>
      </c>
      <c r="H32" s="826" t="s">
        <v>596</v>
      </c>
    </row>
    <row r="33" spans="1:8" ht="19.5" thickBot="1">
      <c r="A33" s="856" t="s">
        <v>595</v>
      </c>
      <c r="B33" s="2239">
        <v>19</v>
      </c>
      <c r="C33" s="876">
        <v>8</v>
      </c>
      <c r="D33" s="2715">
        <f>42+59</f>
        <v>101</v>
      </c>
      <c r="E33" s="2716">
        <v>35</v>
      </c>
      <c r="F33" s="2283">
        <v>44</v>
      </c>
      <c r="G33" s="2716">
        <v>23</v>
      </c>
      <c r="H33" s="834" t="s">
        <v>595</v>
      </c>
    </row>
    <row r="34" spans="1:8" ht="18.75">
      <c r="A34" s="158" t="s">
        <v>1289</v>
      </c>
      <c r="B34" s="158"/>
      <c r="C34" s="157"/>
      <c r="D34" s="158"/>
      <c r="E34" s="158"/>
      <c r="F34" s="158"/>
      <c r="G34" s="158"/>
      <c r="H34" s="180"/>
    </row>
    <row r="35" ht="15.75">
      <c r="C35" s="160"/>
    </row>
    <row r="36" ht="15.75">
      <c r="C36" s="160"/>
    </row>
    <row r="37" ht="15.75">
      <c r="C37" s="160"/>
    </row>
    <row r="38" spans="3:6" ht="15.75">
      <c r="C38" s="160"/>
      <c r="F38" s="304" t="s">
        <v>1206</v>
      </c>
    </row>
    <row r="39" ht="15.75">
      <c r="C39" s="160"/>
    </row>
    <row r="40" ht="15.75">
      <c r="C40" s="160"/>
    </row>
    <row r="41" ht="15.75">
      <c r="C41" s="160"/>
    </row>
    <row r="42" ht="15.75">
      <c r="C42" s="160"/>
    </row>
    <row r="43" ht="15.75">
      <c r="C43" s="160"/>
    </row>
    <row r="44" ht="15.75">
      <c r="C44" s="160"/>
    </row>
    <row r="45" ht="15.75">
      <c r="C45" s="160"/>
    </row>
    <row r="46" ht="15.75">
      <c r="C46" s="160"/>
    </row>
    <row r="47" spans="3:7" ht="15.75">
      <c r="C47" s="160"/>
      <c r="G47" s="345"/>
    </row>
    <row r="48" ht="15.75">
      <c r="C48" s="160"/>
    </row>
    <row r="49" ht="15.75">
      <c r="C49" s="160"/>
    </row>
    <row r="50" ht="15.75">
      <c r="C50" s="160"/>
    </row>
    <row r="51" ht="15.75">
      <c r="C51" s="160"/>
    </row>
    <row r="52" ht="15.75">
      <c r="C52" s="160"/>
    </row>
    <row r="53" ht="15.75">
      <c r="C53" s="160"/>
    </row>
    <row r="54" ht="15.75">
      <c r="C54" s="160"/>
    </row>
    <row r="55" ht="15.75">
      <c r="C55" s="160"/>
    </row>
    <row r="56" ht="15.75">
      <c r="C56" s="160"/>
    </row>
    <row r="57" ht="15.75">
      <c r="C57" s="160"/>
    </row>
    <row r="58" ht="15.75">
      <c r="C58" s="160"/>
    </row>
    <row r="59" ht="15.75">
      <c r="C59" s="160"/>
    </row>
  </sheetData>
  <sheetProtection/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zoomScalePageLayoutView="0" workbookViewId="0" topLeftCell="A53">
      <selection activeCell="M14" sqref="M14"/>
    </sheetView>
  </sheetViews>
  <sheetFormatPr defaultColWidth="9.140625" defaultRowHeight="12.75"/>
  <cols>
    <col min="1" max="1" width="19.140625" style="18" customWidth="1"/>
    <col min="2" max="2" width="10.7109375" style="18" customWidth="1"/>
    <col min="3" max="3" width="8.421875" style="35" customWidth="1"/>
    <col min="4" max="4" width="13.7109375" style="18" customWidth="1"/>
    <col min="5" max="5" width="8.57421875" style="18" customWidth="1"/>
    <col min="6" max="6" width="9.28125" style="18" customWidth="1"/>
    <col min="7" max="7" width="12.57421875" style="18" customWidth="1"/>
    <col min="8" max="8" width="10.8515625" style="18" customWidth="1"/>
    <col min="9" max="9" width="8.8515625" style="34" customWidth="1"/>
    <col min="10" max="10" width="14.57421875" style="18" customWidth="1"/>
    <col min="11" max="11" width="17.7109375" style="33" customWidth="1"/>
    <col min="12" max="16384" width="9.140625" style="18" customWidth="1"/>
  </cols>
  <sheetData>
    <row r="1" ht="18.75">
      <c r="A1" s="14" t="s">
        <v>611</v>
      </c>
    </row>
    <row r="2" ht="16.5" thickBot="1"/>
    <row r="3" spans="1:11" ht="19.5" thickBot="1">
      <c r="A3" s="877"/>
      <c r="B3" s="25" t="s">
        <v>612</v>
      </c>
      <c r="C3" s="878"/>
      <c r="D3" s="879"/>
      <c r="E3" s="25" t="s">
        <v>1404</v>
      </c>
      <c r="F3" s="880"/>
      <c r="G3" s="879"/>
      <c r="H3" s="881"/>
      <c r="I3" s="882"/>
      <c r="J3" s="880"/>
      <c r="K3" s="883"/>
    </row>
    <row r="4" spans="1:11" ht="19.5">
      <c r="A4" s="884" t="s">
        <v>566</v>
      </c>
      <c r="B4" s="16" t="s">
        <v>567</v>
      </c>
      <c r="C4" s="20" t="s">
        <v>568</v>
      </c>
      <c r="D4" s="16" t="s">
        <v>569</v>
      </c>
      <c r="E4" s="16" t="s">
        <v>567</v>
      </c>
      <c r="F4" s="16" t="s">
        <v>568</v>
      </c>
      <c r="G4" s="16" t="s">
        <v>569</v>
      </c>
      <c r="H4" s="16" t="s">
        <v>567</v>
      </c>
      <c r="I4" s="885" t="s">
        <v>568</v>
      </c>
      <c r="J4" s="16" t="s">
        <v>569</v>
      </c>
      <c r="K4" s="886" t="s">
        <v>570</v>
      </c>
    </row>
    <row r="5" spans="1:11" s="33" customFormat="1" ht="18.75">
      <c r="A5" s="27" t="s">
        <v>571</v>
      </c>
      <c r="B5" s="27" t="s">
        <v>572</v>
      </c>
      <c r="C5" s="41" t="s">
        <v>573</v>
      </c>
      <c r="D5" s="27" t="s">
        <v>574</v>
      </c>
      <c r="E5" s="27" t="s">
        <v>572</v>
      </c>
      <c r="F5" s="27" t="s">
        <v>573</v>
      </c>
      <c r="G5" s="27" t="s">
        <v>574</v>
      </c>
      <c r="H5" s="27" t="s">
        <v>572</v>
      </c>
      <c r="I5" s="887" t="s">
        <v>573</v>
      </c>
      <c r="J5" s="27" t="s">
        <v>610</v>
      </c>
      <c r="K5" s="27" t="s">
        <v>575</v>
      </c>
    </row>
    <row r="6" spans="1:11" ht="19.5" thickBot="1">
      <c r="A6" s="17"/>
      <c r="B6" s="888" t="s">
        <v>444</v>
      </c>
      <c r="C6" s="42" t="s">
        <v>576</v>
      </c>
      <c r="D6" s="888" t="s">
        <v>577</v>
      </c>
      <c r="E6" s="17" t="s">
        <v>444</v>
      </c>
      <c r="F6" s="17" t="s">
        <v>576</v>
      </c>
      <c r="G6" s="17" t="s">
        <v>577</v>
      </c>
      <c r="H6" s="17" t="s">
        <v>444</v>
      </c>
      <c r="I6" s="889" t="s">
        <v>576</v>
      </c>
      <c r="J6" s="17" t="s">
        <v>577</v>
      </c>
      <c r="K6" s="26"/>
    </row>
    <row r="7" spans="1:11" s="32" customFormat="1" ht="20.25" thickBot="1">
      <c r="A7" s="136" t="s">
        <v>578</v>
      </c>
      <c r="B7" s="704" t="s">
        <v>464</v>
      </c>
      <c r="C7" s="698" t="s">
        <v>464</v>
      </c>
      <c r="D7" s="890" t="s">
        <v>464</v>
      </c>
      <c r="E7" s="704" t="s">
        <v>464</v>
      </c>
      <c r="F7" s="698" t="s">
        <v>464</v>
      </c>
      <c r="G7" s="890" t="s">
        <v>464</v>
      </c>
      <c r="H7" s="704" t="s">
        <v>464</v>
      </c>
      <c r="I7" s="698" t="s">
        <v>464</v>
      </c>
      <c r="J7" s="890" t="s">
        <v>464</v>
      </c>
      <c r="K7" s="891" t="s">
        <v>579</v>
      </c>
    </row>
    <row r="8" spans="1:11" s="32" customFormat="1" ht="19.5">
      <c r="A8" s="711" t="s">
        <v>580</v>
      </c>
      <c r="B8" s="699" t="s">
        <v>464</v>
      </c>
      <c r="C8" s="700" t="s">
        <v>464</v>
      </c>
      <c r="D8" s="701" t="s">
        <v>464</v>
      </c>
      <c r="E8" s="699" t="s">
        <v>464</v>
      </c>
      <c r="F8" s="700" t="s">
        <v>464</v>
      </c>
      <c r="G8" s="701" t="s">
        <v>464</v>
      </c>
      <c r="H8" s="699" t="s">
        <v>464</v>
      </c>
      <c r="I8" s="700" t="s">
        <v>464</v>
      </c>
      <c r="J8" s="701" t="s">
        <v>464</v>
      </c>
      <c r="K8" s="542" t="s">
        <v>581</v>
      </c>
    </row>
    <row r="9" spans="1:11" ht="18.75">
      <c r="A9" s="122" t="s">
        <v>582</v>
      </c>
      <c r="B9" s="695" t="s">
        <v>464</v>
      </c>
      <c r="C9" s="696" t="s">
        <v>464</v>
      </c>
      <c r="D9" s="697" t="s">
        <v>464</v>
      </c>
      <c r="E9" s="695" t="s">
        <v>464</v>
      </c>
      <c r="F9" s="696" t="s">
        <v>464</v>
      </c>
      <c r="G9" s="697" t="s">
        <v>464</v>
      </c>
      <c r="H9" s="695" t="s">
        <v>464</v>
      </c>
      <c r="I9" s="696" t="s">
        <v>464</v>
      </c>
      <c r="J9" s="697" t="s">
        <v>464</v>
      </c>
      <c r="K9" s="543" t="s">
        <v>583</v>
      </c>
    </row>
    <row r="10" spans="1:11" ht="18.75">
      <c r="A10" s="122" t="s">
        <v>584</v>
      </c>
      <c r="B10" s="695" t="s">
        <v>464</v>
      </c>
      <c r="C10" s="696" t="s">
        <v>464</v>
      </c>
      <c r="D10" s="697" t="s">
        <v>464</v>
      </c>
      <c r="E10" s="695" t="s">
        <v>464</v>
      </c>
      <c r="F10" s="696" t="s">
        <v>464</v>
      </c>
      <c r="G10" s="697" t="s">
        <v>464</v>
      </c>
      <c r="H10" s="695" t="s">
        <v>464</v>
      </c>
      <c r="I10" s="696" t="s">
        <v>464</v>
      </c>
      <c r="J10" s="697" t="s">
        <v>464</v>
      </c>
      <c r="K10" s="543" t="s">
        <v>584</v>
      </c>
    </row>
    <row r="11" spans="1:11" ht="18.75">
      <c r="A11" s="122" t="s">
        <v>585</v>
      </c>
      <c r="B11" s="695" t="s">
        <v>464</v>
      </c>
      <c r="C11" s="696" t="s">
        <v>464</v>
      </c>
      <c r="D11" s="697" t="s">
        <v>464</v>
      </c>
      <c r="E11" s="695" t="s">
        <v>464</v>
      </c>
      <c r="F11" s="696" t="s">
        <v>464</v>
      </c>
      <c r="G11" s="697" t="s">
        <v>464</v>
      </c>
      <c r="H11" s="695" t="s">
        <v>464</v>
      </c>
      <c r="I11" s="696" t="s">
        <v>464</v>
      </c>
      <c r="J11" s="697" t="s">
        <v>464</v>
      </c>
      <c r="K11" s="543" t="s">
        <v>585</v>
      </c>
    </row>
    <row r="12" spans="1:11" ht="18.75">
      <c r="A12" s="122"/>
      <c r="B12" s="40"/>
      <c r="C12" s="79"/>
      <c r="D12" s="39"/>
      <c r="E12" s="38"/>
      <c r="F12" s="79"/>
      <c r="G12" s="39"/>
      <c r="H12" s="38"/>
      <c r="I12" s="79"/>
      <c r="J12" s="39"/>
      <c r="K12" s="543"/>
    </row>
    <row r="13" spans="1:11" ht="19.5">
      <c r="A13" s="713" t="s">
        <v>588</v>
      </c>
      <c r="B13" s="695" t="s">
        <v>464</v>
      </c>
      <c r="C13" s="696" t="s">
        <v>464</v>
      </c>
      <c r="D13" s="697" t="s">
        <v>464</v>
      </c>
      <c r="E13" s="695" t="s">
        <v>464</v>
      </c>
      <c r="F13" s="696" t="s">
        <v>464</v>
      </c>
      <c r="G13" s="697" t="s">
        <v>464</v>
      </c>
      <c r="H13" s="695" t="s">
        <v>464</v>
      </c>
      <c r="I13" s="696" t="s">
        <v>464</v>
      </c>
      <c r="J13" s="697" t="s">
        <v>464</v>
      </c>
      <c r="K13" s="544" t="s">
        <v>589</v>
      </c>
    </row>
    <row r="14" spans="1:11" ht="18.75">
      <c r="A14" s="712" t="s">
        <v>590</v>
      </c>
      <c r="B14" s="695" t="s">
        <v>464</v>
      </c>
      <c r="C14" s="696" t="s">
        <v>464</v>
      </c>
      <c r="D14" s="697" t="s">
        <v>464</v>
      </c>
      <c r="E14" s="695" t="s">
        <v>464</v>
      </c>
      <c r="F14" s="696" t="s">
        <v>464</v>
      </c>
      <c r="G14" s="697" t="s">
        <v>464</v>
      </c>
      <c r="H14" s="695" t="s">
        <v>464</v>
      </c>
      <c r="I14" s="696" t="s">
        <v>464</v>
      </c>
      <c r="J14" s="697" t="s">
        <v>464</v>
      </c>
      <c r="K14" s="543" t="s">
        <v>591</v>
      </c>
    </row>
    <row r="15" spans="1:11" s="32" customFormat="1" ht="18.75">
      <c r="A15" s="712" t="s">
        <v>592</v>
      </c>
      <c r="B15" s="695" t="s">
        <v>464</v>
      </c>
      <c r="C15" s="696" t="s">
        <v>464</v>
      </c>
      <c r="D15" s="697" t="s">
        <v>464</v>
      </c>
      <c r="E15" s="695" t="s">
        <v>464</v>
      </c>
      <c r="F15" s="696" t="s">
        <v>464</v>
      </c>
      <c r="G15" s="697" t="s">
        <v>464</v>
      </c>
      <c r="H15" s="695" t="s">
        <v>464</v>
      </c>
      <c r="I15" s="696" t="s">
        <v>464</v>
      </c>
      <c r="J15" s="697" t="s">
        <v>464</v>
      </c>
      <c r="K15" s="543" t="s">
        <v>593</v>
      </c>
    </row>
    <row r="16" spans="1:11" ht="18.75">
      <c r="A16" s="712" t="s">
        <v>594</v>
      </c>
      <c r="B16" s="695" t="s">
        <v>464</v>
      </c>
      <c r="C16" s="696" t="s">
        <v>464</v>
      </c>
      <c r="D16" s="697" t="s">
        <v>464</v>
      </c>
      <c r="E16" s="695" t="s">
        <v>464</v>
      </c>
      <c r="F16" s="696" t="s">
        <v>464</v>
      </c>
      <c r="G16" s="697" t="s">
        <v>464</v>
      </c>
      <c r="H16" s="695" t="s">
        <v>464</v>
      </c>
      <c r="I16" s="696" t="s">
        <v>464</v>
      </c>
      <c r="J16" s="697" t="s">
        <v>464</v>
      </c>
      <c r="K16" s="543" t="s">
        <v>594</v>
      </c>
    </row>
    <row r="17" spans="1:11" ht="18.75">
      <c r="A17" s="712" t="s">
        <v>599</v>
      </c>
      <c r="B17" s="695" t="s">
        <v>464</v>
      </c>
      <c r="C17" s="696" t="s">
        <v>464</v>
      </c>
      <c r="D17" s="697" t="s">
        <v>464</v>
      </c>
      <c r="E17" s="695" t="s">
        <v>464</v>
      </c>
      <c r="F17" s="696" t="s">
        <v>464</v>
      </c>
      <c r="G17" s="697" t="s">
        <v>464</v>
      </c>
      <c r="H17" s="695" t="s">
        <v>464</v>
      </c>
      <c r="I17" s="696" t="s">
        <v>464</v>
      </c>
      <c r="J17" s="697" t="s">
        <v>464</v>
      </c>
      <c r="K17" s="543" t="s">
        <v>599</v>
      </c>
    </row>
    <row r="18" spans="1:11" ht="18.75">
      <c r="A18" s="712" t="s">
        <v>598</v>
      </c>
      <c r="B18" s="695" t="s">
        <v>464</v>
      </c>
      <c r="C18" s="696" t="s">
        <v>464</v>
      </c>
      <c r="D18" s="697" t="s">
        <v>464</v>
      </c>
      <c r="E18" s="695" t="s">
        <v>464</v>
      </c>
      <c r="F18" s="696" t="s">
        <v>464</v>
      </c>
      <c r="G18" s="697" t="s">
        <v>464</v>
      </c>
      <c r="H18" s="695" t="s">
        <v>464</v>
      </c>
      <c r="I18" s="696" t="s">
        <v>464</v>
      </c>
      <c r="J18" s="697" t="s">
        <v>464</v>
      </c>
      <c r="K18" s="543" t="s">
        <v>598</v>
      </c>
    </row>
    <row r="19" spans="1:11" ht="18.75">
      <c r="A19" s="70"/>
      <c r="B19" s="892"/>
      <c r="C19" s="893"/>
      <c r="D19" s="894"/>
      <c r="E19" s="892"/>
      <c r="F19" s="893"/>
      <c r="G19" s="894"/>
      <c r="H19" s="892"/>
      <c r="I19" s="893"/>
      <c r="J19" s="894"/>
      <c r="K19" s="543"/>
    </row>
    <row r="20" spans="1:11" ht="19.5">
      <c r="A20" s="713" t="s">
        <v>601</v>
      </c>
      <c r="B20" s="695" t="s">
        <v>464</v>
      </c>
      <c r="C20" s="696" t="s">
        <v>464</v>
      </c>
      <c r="D20" s="697" t="s">
        <v>464</v>
      </c>
      <c r="E20" s="695" t="s">
        <v>464</v>
      </c>
      <c r="F20" s="696" t="s">
        <v>464</v>
      </c>
      <c r="G20" s="697" t="s">
        <v>464</v>
      </c>
      <c r="H20" s="695" t="s">
        <v>464</v>
      </c>
      <c r="I20" s="696" t="s">
        <v>464</v>
      </c>
      <c r="J20" s="697" t="s">
        <v>464</v>
      </c>
      <c r="K20" s="544" t="s">
        <v>602</v>
      </c>
    </row>
    <row r="21" spans="1:11" ht="18.75">
      <c r="A21" s="712" t="s">
        <v>603</v>
      </c>
      <c r="B21" s="695" t="s">
        <v>464</v>
      </c>
      <c r="C21" s="696" t="s">
        <v>464</v>
      </c>
      <c r="D21" s="697" t="s">
        <v>464</v>
      </c>
      <c r="E21" s="695" t="s">
        <v>464</v>
      </c>
      <c r="F21" s="696" t="s">
        <v>464</v>
      </c>
      <c r="G21" s="697" t="s">
        <v>464</v>
      </c>
      <c r="H21" s="695" t="s">
        <v>464</v>
      </c>
      <c r="I21" s="696" t="s">
        <v>464</v>
      </c>
      <c r="J21" s="697" t="s">
        <v>464</v>
      </c>
      <c r="K21" s="543" t="s">
        <v>604</v>
      </c>
    </row>
    <row r="22" spans="1:11" ht="18.75">
      <c r="A22" s="712" t="s">
        <v>605</v>
      </c>
      <c r="B22" s="695" t="s">
        <v>464</v>
      </c>
      <c r="C22" s="696" t="s">
        <v>464</v>
      </c>
      <c r="D22" s="697" t="s">
        <v>464</v>
      </c>
      <c r="E22" s="695" t="s">
        <v>464</v>
      </c>
      <c r="F22" s="696" t="s">
        <v>464</v>
      </c>
      <c r="G22" s="697" t="s">
        <v>464</v>
      </c>
      <c r="H22" s="695" t="s">
        <v>464</v>
      </c>
      <c r="I22" s="696" t="s">
        <v>464</v>
      </c>
      <c r="J22" s="697" t="s">
        <v>464</v>
      </c>
      <c r="K22" s="543" t="s">
        <v>606</v>
      </c>
    </row>
    <row r="23" spans="1:11" ht="18.75">
      <c r="A23" s="712" t="s">
        <v>607</v>
      </c>
      <c r="B23" s="695" t="s">
        <v>464</v>
      </c>
      <c r="C23" s="696" t="s">
        <v>464</v>
      </c>
      <c r="D23" s="697" t="s">
        <v>464</v>
      </c>
      <c r="E23" s="695" t="s">
        <v>464</v>
      </c>
      <c r="F23" s="696" t="s">
        <v>464</v>
      </c>
      <c r="G23" s="697" t="s">
        <v>464</v>
      </c>
      <c r="H23" s="695" t="s">
        <v>464</v>
      </c>
      <c r="I23" s="696" t="s">
        <v>464</v>
      </c>
      <c r="J23" s="697" t="s">
        <v>464</v>
      </c>
      <c r="K23" s="543" t="s">
        <v>607</v>
      </c>
    </row>
    <row r="24" spans="1:11" ht="18.75">
      <c r="A24" s="712" t="s">
        <v>608</v>
      </c>
      <c r="B24" s="695" t="s">
        <v>464</v>
      </c>
      <c r="C24" s="696" t="s">
        <v>464</v>
      </c>
      <c r="D24" s="697" t="s">
        <v>464</v>
      </c>
      <c r="E24" s="695" t="s">
        <v>464</v>
      </c>
      <c r="F24" s="696" t="s">
        <v>464</v>
      </c>
      <c r="G24" s="697" t="s">
        <v>464</v>
      </c>
      <c r="H24" s="695" t="s">
        <v>464</v>
      </c>
      <c r="I24" s="696" t="s">
        <v>464</v>
      </c>
      <c r="J24" s="697" t="s">
        <v>464</v>
      </c>
      <c r="K24" s="543" t="s">
        <v>608</v>
      </c>
    </row>
    <row r="25" spans="1:11" s="32" customFormat="1" ht="18.75">
      <c r="A25" s="71"/>
      <c r="B25" s="895"/>
      <c r="C25" s="896"/>
      <c r="D25" s="897"/>
      <c r="E25" s="895"/>
      <c r="F25" s="896"/>
      <c r="G25" s="897"/>
      <c r="H25" s="895"/>
      <c r="I25" s="896"/>
      <c r="J25" s="897"/>
      <c r="K25" s="545"/>
    </row>
    <row r="26" spans="1:11" s="5" customFormat="1" ht="19.5">
      <c r="A26" s="806" t="s">
        <v>1286</v>
      </c>
      <c r="B26" s="695" t="s">
        <v>464</v>
      </c>
      <c r="C26" s="696" t="s">
        <v>464</v>
      </c>
      <c r="D26" s="697" t="s">
        <v>464</v>
      </c>
      <c r="E26" s="695" t="s">
        <v>464</v>
      </c>
      <c r="F26" s="696" t="s">
        <v>464</v>
      </c>
      <c r="G26" s="697" t="s">
        <v>464</v>
      </c>
      <c r="H26" s="695" t="s">
        <v>464</v>
      </c>
      <c r="I26" s="696" t="s">
        <v>464</v>
      </c>
      <c r="J26" s="697" t="s">
        <v>464</v>
      </c>
      <c r="K26" s="408" t="s">
        <v>1286</v>
      </c>
    </row>
    <row r="27" spans="1:11" ht="18.75">
      <c r="A27" s="70" t="s">
        <v>586</v>
      </c>
      <c r="B27" s="695" t="s">
        <v>464</v>
      </c>
      <c r="C27" s="696" t="s">
        <v>464</v>
      </c>
      <c r="D27" s="697" t="s">
        <v>464</v>
      </c>
      <c r="E27" s="695" t="s">
        <v>464</v>
      </c>
      <c r="F27" s="696" t="s">
        <v>464</v>
      </c>
      <c r="G27" s="697" t="s">
        <v>464</v>
      </c>
      <c r="H27" s="695" t="s">
        <v>464</v>
      </c>
      <c r="I27" s="696" t="s">
        <v>464</v>
      </c>
      <c r="J27" s="697" t="s">
        <v>464</v>
      </c>
      <c r="K27" s="543" t="s">
        <v>586</v>
      </c>
    </row>
    <row r="28" spans="1:11" ht="18.75">
      <c r="A28" s="70" t="s">
        <v>587</v>
      </c>
      <c r="B28" s="695" t="s">
        <v>464</v>
      </c>
      <c r="C28" s="696" t="s">
        <v>464</v>
      </c>
      <c r="D28" s="697" t="s">
        <v>464</v>
      </c>
      <c r="E28" s="695" t="s">
        <v>464</v>
      </c>
      <c r="F28" s="696" t="s">
        <v>464</v>
      </c>
      <c r="G28" s="697" t="s">
        <v>464</v>
      </c>
      <c r="H28" s="695" t="s">
        <v>464</v>
      </c>
      <c r="I28" s="696" t="s">
        <v>464</v>
      </c>
      <c r="J28" s="697" t="s">
        <v>464</v>
      </c>
      <c r="K28" s="543" t="s">
        <v>587</v>
      </c>
    </row>
    <row r="29" spans="1:11" ht="18.75">
      <c r="A29" s="70"/>
      <c r="B29" s="892"/>
      <c r="C29" s="893"/>
      <c r="D29" s="894"/>
      <c r="E29" s="892"/>
      <c r="F29" s="893"/>
      <c r="G29" s="894"/>
      <c r="H29" s="892"/>
      <c r="I29" s="893"/>
      <c r="J29" s="894"/>
      <c r="K29" s="543"/>
    </row>
    <row r="30" spans="1:11" s="5" customFormat="1" ht="19.5">
      <c r="A30" s="806" t="s">
        <v>1287</v>
      </c>
      <c r="B30" s="695" t="s">
        <v>464</v>
      </c>
      <c r="C30" s="696" t="s">
        <v>464</v>
      </c>
      <c r="D30" s="697" t="s">
        <v>464</v>
      </c>
      <c r="E30" s="695" t="s">
        <v>464</v>
      </c>
      <c r="F30" s="696" t="s">
        <v>464</v>
      </c>
      <c r="G30" s="697" t="s">
        <v>464</v>
      </c>
      <c r="H30" s="695" t="s">
        <v>464</v>
      </c>
      <c r="I30" s="696" t="s">
        <v>464</v>
      </c>
      <c r="J30" s="697" t="s">
        <v>464</v>
      </c>
      <c r="K30" s="408" t="s">
        <v>1287</v>
      </c>
    </row>
    <row r="31" spans="1:11" ht="18.75">
      <c r="A31" s="70" t="s">
        <v>1273</v>
      </c>
      <c r="B31" s="695" t="s">
        <v>464</v>
      </c>
      <c r="C31" s="696" t="s">
        <v>464</v>
      </c>
      <c r="D31" s="697" t="s">
        <v>464</v>
      </c>
      <c r="E31" s="695" t="s">
        <v>464</v>
      </c>
      <c r="F31" s="696" t="s">
        <v>464</v>
      </c>
      <c r="G31" s="697" t="s">
        <v>464</v>
      </c>
      <c r="H31" s="695" t="s">
        <v>464</v>
      </c>
      <c r="I31" s="696" t="s">
        <v>464</v>
      </c>
      <c r="J31" s="697" t="s">
        <v>464</v>
      </c>
      <c r="K31" s="543" t="s">
        <v>1273</v>
      </c>
    </row>
    <row r="32" spans="1:11" ht="18.75">
      <c r="A32" s="70" t="s">
        <v>596</v>
      </c>
      <c r="B32" s="695" t="s">
        <v>464</v>
      </c>
      <c r="C32" s="696" t="s">
        <v>464</v>
      </c>
      <c r="D32" s="697" t="s">
        <v>464</v>
      </c>
      <c r="E32" s="695" t="s">
        <v>464</v>
      </c>
      <c r="F32" s="696" t="s">
        <v>464</v>
      </c>
      <c r="G32" s="697" t="s">
        <v>464</v>
      </c>
      <c r="H32" s="695" t="s">
        <v>464</v>
      </c>
      <c r="I32" s="696" t="s">
        <v>464</v>
      </c>
      <c r="J32" s="697" t="s">
        <v>464</v>
      </c>
      <c r="K32" s="543" t="s">
        <v>596</v>
      </c>
    </row>
    <row r="33" spans="1:11" ht="19.5" thickBot="1">
      <c r="A33" s="72" t="s">
        <v>595</v>
      </c>
      <c r="B33" s="702" t="s">
        <v>464</v>
      </c>
      <c r="C33" s="703" t="s">
        <v>464</v>
      </c>
      <c r="D33" s="705" t="s">
        <v>464</v>
      </c>
      <c r="E33" s="702" t="s">
        <v>464</v>
      </c>
      <c r="F33" s="703" t="s">
        <v>464</v>
      </c>
      <c r="G33" s="705" t="s">
        <v>464</v>
      </c>
      <c r="H33" s="702" t="s">
        <v>464</v>
      </c>
      <c r="I33" s="703" t="s">
        <v>464</v>
      </c>
      <c r="J33" s="705" t="s">
        <v>464</v>
      </c>
      <c r="K33" s="546" t="s">
        <v>595</v>
      </c>
    </row>
    <row r="34" spans="1:11" ht="18.75">
      <c r="A34" s="29"/>
      <c r="B34" s="896"/>
      <c r="C34" s="43"/>
      <c r="D34" s="896"/>
      <c r="E34" s="896"/>
      <c r="F34" s="896"/>
      <c r="G34" s="896"/>
      <c r="H34" s="898"/>
      <c r="I34" s="893"/>
      <c r="J34" s="898"/>
      <c r="K34" s="103"/>
    </row>
    <row r="35" spans="1:11" ht="18.75" hidden="1">
      <c r="A35" s="29"/>
      <c r="B35" s="896"/>
      <c r="C35" s="43"/>
      <c r="D35" s="896"/>
      <c r="E35" s="896"/>
      <c r="F35" s="896"/>
      <c r="G35" s="896"/>
      <c r="H35" s="898"/>
      <c r="I35" s="893"/>
      <c r="J35" s="898"/>
      <c r="K35" s="103"/>
    </row>
    <row r="36" spans="1:11" ht="18.75" hidden="1">
      <c r="A36" s="15"/>
      <c r="B36" s="48"/>
      <c r="C36" s="61"/>
      <c r="D36" s="48"/>
      <c r="E36" s="48"/>
      <c r="F36" s="48"/>
      <c r="G36" s="48"/>
      <c r="H36" s="48"/>
      <c r="I36" s="899"/>
      <c r="J36" s="48"/>
      <c r="K36" s="24"/>
    </row>
    <row r="37" spans="1:11" ht="18.75" hidden="1">
      <c r="A37" s="15"/>
      <c r="B37" s="48"/>
      <c r="C37" s="61"/>
      <c r="D37" s="48"/>
      <c r="E37" s="48"/>
      <c r="F37" s="48"/>
      <c r="G37" s="48"/>
      <c r="H37" s="48"/>
      <c r="I37" s="899"/>
      <c r="J37" s="48"/>
      <c r="K37" s="24"/>
    </row>
    <row r="38" spans="1:11" ht="18.75">
      <c r="A38" s="14" t="s">
        <v>613</v>
      </c>
      <c r="B38" s="48"/>
      <c r="C38" s="61"/>
      <c r="D38" s="48"/>
      <c r="E38" s="48"/>
      <c r="F38" s="48" t="s">
        <v>1481</v>
      </c>
      <c r="G38" s="48"/>
      <c r="H38" s="15"/>
      <c r="I38" s="899"/>
      <c r="J38" s="900" t="s">
        <v>144</v>
      </c>
      <c r="K38" s="24"/>
    </row>
    <row r="39" spans="1:11" ht="14.25" customHeight="1" thickBot="1">
      <c r="A39" s="15"/>
      <c r="B39" s="48"/>
      <c r="C39" s="61"/>
      <c r="D39" s="48"/>
      <c r="E39" s="48"/>
      <c r="F39" s="48"/>
      <c r="G39" s="48"/>
      <c r="H39" s="48"/>
      <c r="I39" s="899"/>
      <c r="J39" s="48"/>
      <c r="K39" s="24"/>
    </row>
    <row r="40" spans="1:11" ht="36" customHeight="1" thickBot="1">
      <c r="A40" s="877"/>
      <c r="B40" s="2859" t="s">
        <v>1291</v>
      </c>
      <c r="C40" s="2860"/>
      <c r="D40" s="2861"/>
      <c r="E40" s="2862" t="s">
        <v>1290</v>
      </c>
      <c r="F40" s="2860"/>
      <c r="G40" s="2861"/>
      <c r="H40" s="2862" t="s">
        <v>614</v>
      </c>
      <c r="I40" s="2863"/>
      <c r="J40" s="2864"/>
      <c r="K40" s="883"/>
    </row>
    <row r="41" spans="1:11" ht="19.5">
      <c r="A41" s="884" t="s">
        <v>566</v>
      </c>
      <c r="B41" s="16" t="s">
        <v>567</v>
      </c>
      <c r="C41" s="20" t="s">
        <v>568</v>
      </c>
      <c r="D41" s="16" t="s">
        <v>569</v>
      </c>
      <c r="E41" s="16" t="s">
        <v>567</v>
      </c>
      <c r="F41" s="16" t="s">
        <v>568</v>
      </c>
      <c r="G41" s="16" t="s">
        <v>569</v>
      </c>
      <c r="H41" s="16" t="s">
        <v>567</v>
      </c>
      <c r="I41" s="885" t="s">
        <v>568</v>
      </c>
      <c r="J41" s="16" t="s">
        <v>569</v>
      </c>
      <c r="K41" s="886" t="s">
        <v>570</v>
      </c>
    </row>
    <row r="42" spans="1:11" s="33" customFormat="1" ht="18.75">
      <c r="A42" s="884" t="s">
        <v>571</v>
      </c>
      <c r="B42" s="27" t="s">
        <v>572</v>
      </c>
      <c r="C42" s="41" t="s">
        <v>573</v>
      </c>
      <c r="D42" s="27" t="s">
        <v>574</v>
      </c>
      <c r="E42" s="27" t="s">
        <v>572</v>
      </c>
      <c r="F42" s="27" t="s">
        <v>573</v>
      </c>
      <c r="G42" s="27" t="s">
        <v>574</v>
      </c>
      <c r="H42" s="27" t="s">
        <v>572</v>
      </c>
      <c r="I42" s="887" t="s">
        <v>573</v>
      </c>
      <c r="J42" s="27" t="s">
        <v>574</v>
      </c>
      <c r="K42" s="27" t="s">
        <v>575</v>
      </c>
    </row>
    <row r="43" spans="1:11" ht="19.5" thickBot="1">
      <c r="A43" s="17"/>
      <c r="B43" s="17" t="s">
        <v>444</v>
      </c>
      <c r="C43" s="21" t="s">
        <v>576</v>
      </c>
      <c r="D43" s="17" t="s">
        <v>577</v>
      </c>
      <c r="E43" s="17" t="s">
        <v>444</v>
      </c>
      <c r="F43" s="17" t="s">
        <v>576</v>
      </c>
      <c r="G43" s="17" t="s">
        <v>577</v>
      </c>
      <c r="H43" s="888" t="s">
        <v>444</v>
      </c>
      <c r="I43" s="901" t="s">
        <v>576</v>
      </c>
      <c r="J43" s="888" t="s">
        <v>577</v>
      </c>
      <c r="K43" s="26"/>
    </row>
    <row r="44" spans="1:11" s="32" customFormat="1" ht="20.25" thickBot="1">
      <c r="A44" s="902" t="s">
        <v>578</v>
      </c>
      <c r="B44" s="704" t="s">
        <v>464</v>
      </c>
      <c r="C44" s="698" t="s">
        <v>464</v>
      </c>
      <c r="D44" s="890" t="s">
        <v>464</v>
      </c>
      <c r="E44" s="704" t="s">
        <v>464</v>
      </c>
      <c r="F44" s="698" t="s">
        <v>464</v>
      </c>
      <c r="G44" s="698" t="s">
        <v>464</v>
      </c>
      <c r="H44" s="52">
        <f>SUM(H50+H63+H67)</f>
        <v>3966</v>
      </c>
      <c r="I44" s="45">
        <f>(J44*1000)/H44</f>
        <v>2677.5088250126073</v>
      </c>
      <c r="J44" s="53">
        <f>SUM(J50+J63+J67)</f>
        <v>10619</v>
      </c>
      <c r="K44" s="46" t="s">
        <v>579</v>
      </c>
    </row>
    <row r="45" spans="1:11" s="32" customFormat="1" ht="19.5">
      <c r="A45" s="711" t="s">
        <v>580</v>
      </c>
      <c r="B45" s="699" t="s">
        <v>464</v>
      </c>
      <c r="C45" s="700" t="s">
        <v>464</v>
      </c>
      <c r="D45" s="701" t="s">
        <v>464</v>
      </c>
      <c r="E45" s="699" t="s">
        <v>464</v>
      </c>
      <c r="F45" s="700" t="s">
        <v>464</v>
      </c>
      <c r="G45" s="701" t="s">
        <v>464</v>
      </c>
      <c r="H45" s="695" t="s">
        <v>464</v>
      </c>
      <c r="I45" s="696" t="s">
        <v>464</v>
      </c>
      <c r="J45" s="697" t="s">
        <v>464</v>
      </c>
      <c r="K45" s="542" t="s">
        <v>581</v>
      </c>
    </row>
    <row r="46" spans="1:11" ht="18.75">
      <c r="A46" s="712" t="s">
        <v>582</v>
      </c>
      <c r="B46" s="695" t="s">
        <v>464</v>
      </c>
      <c r="C46" s="696" t="s">
        <v>464</v>
      </c>
      <c r="D46" s="697" t="s">
        <v>464</v>
      </c>
      <c r="E46" s="695" t="s">
        <v>464</v>
      </c>
      <c r="F46" s="696" t="s">
        <v>464</v>
      </c>
      <c r="G46" s="697" t="s">
        <v>464</v>
      </c>
      <c r="H46" s="695" t="s">
        <v>464</v>
      </c>
      <c r="I46" s="696" t="s">
        <v>464</v>
      </c>
      <c r="J46" s="697" t="s">
        <v>464</v>
      </c>
      <c r="K46" s="543" t="s">
        <v>583</v>
      </c>
    </row>
    <row r="47" spans="1:11" ht="18.75">
      <c r="A47" s="712" t="s">
        <v>584</v>
      </c>
      <c r="B47" s="695" t="s">
        <v>464</v>
      </c>
      <c r="C47" s="696" t="s">
        <v>464</v>
      </c>
      <c r="D47" s="697" t="s">
        <v>464</v>
      </c>
      <c r="E47" s="695" t="s">
        <v>464</v>
      </c>
      <c r="F47" s="696" t="s">
        <v>464</v>
      </c>
      <c r="G47" s="697" t="s">
        <v>464</v>
      </c>
      <c r="H47" s="695" t="s">
        <v>464</v>
      </c>
      <c r="I47" s="696" t="s">
        <v>464</v>
      </c>
      <c r="J47" s="697" t="s">
        <v>464</v>
      </c>
      <c r="K47" s="543" t="s">
        <v>584</v>
      </c>
    </row>
    <row r="48" spans="1:11" ht="18.75">
      <c r="A48" s="712" t="s">
        <v>585</v>
      </c>
      <c r="B48" s="695" t="s">
        <v>464</v>
      </c>
      <c r="C48" s="696" t="s">
        <v>464</v>
      </c>
      <c r="D48" s="697" t="s">
        <v>464</v>
      </c>
      <c r="E48" s="695" t="s">
        <v>464</v>
      </c>
      <c r="F48" s="696" t="s">
        <v>464</v>
      </c>
      <c r="G48" s="697" t="s">
        <v>464</v>
      </c>
      <c r="H48" s="695" t="s">
        <v>464</v>
      </c>
      <c r="I48" s="696" t="s">
        <v>464</v>
      </c>
      <c r="J48" s="697" t="s">
        <v>464</v>
      </c>
      <c r="K48" s="543" t="s">
        <v>585</v>
      </c>
    </row>
    <row r="49" spans="1:11" ht="18.75">
      <c r="A49" s="712"/>
      <c r="B49" s="40"/>
      <c r="C49" s="79"/>
      <c r="D49" s="39"/>
      <c r="E49" s="40"/>
      <c r="F49" s="79"/>
      <c r="G49" s="39"/>
      <c r="H49" s="67"/>
      <c r="I49" s="79"/>
      <c r="J49" s="39"/>
      <c r="K49" s="543"/>
    </row>
    <row r="50" spans="1:11" ht="19.5">
      <c r="A50" s="713" t="s">
        <v>588</v>
      </c>
      <c r="B50" s="695" t="s">
        <v>464</v>
      </c>
      <c r="C50" s="696" t="s">
        <v>464</v>
      </c>
      <c r="D50" s="697" t="s">
        <v>464</v>
      </c>
      <c r="E50" s="695" t="s">
        <v>464</v>
      </c>
      <c r="F50" s="696" t="s">
        <v>464</v>
      </c>
      <c r="G50" s="697" t="s">
        <v>464</v>
      </c>
      <c r="H50" s="65">
        <f>SUM(H51:H55)</f>
        <v>1435</v>
      </c>
      <c r="I50" s="43">
        <f>(J50*1000)/H50</f>
        <v>2749.1289198606273</v>
      </c>
      <c r="J50" s="37">
        <f>SUM(J51:J55)</f>
        <v>3945</v>
      </c>
      <c r="K50" s="544" t="s">
        <v>589</v>
      </c>
    </row>
    <row r="51" spans="1:11" ht="18.75">
      <c r="A51" s="712" t="s">
        <v>590</v>
      </c>
      <c r="B51" s="695" t="s">
        <v>464</v>
      </c>
      <c r="C51" s="696" t="s">
        <v>464</v>
      </c>
      <c r="D51" s="697" t="s">
        <v>464</v>
      </c>
      <c r="E51" s="695" t="s">
        <v>464</v>
      </c>
      <c r="F51" s="696" t="s">
        <v>464</v>
      </c>
      <c r="G51" s="697" t="s">
        <v>464</v>
      </c>
      <c r="H51" s="40">
        <v>70</v>
      </c>
      <c r="I51" s="79">
        <f>(J51*1000)/H51</f>
        <v>3285.714285714286</v>
      </c>
      <c r="J51" s="39">
        <v>230</v>
      </c>
      <c r="K51" s="543" t="s">
        <v>591</v>
      </c>
    </row>
    <row r="52" spans="1:11" s="32" customFormat="1" ht="18.75">
      <c r="A52" s="712" t="s">
        <v>592</v>
      </c>
      <c r="B52" s="695" t="s">
        <v>464</v>
      </c>
      <c r="C52" s="696" t="s">
        <v>464</v>
      </c>
      <c r="D52" s="697" t="s">
        <v>464</v>
      </c>
      <c r="E52" s="695" t="s">
        <v>464</v>
      </c>
      <c r="F52" s="696" t="s">
        <v>464</v>
      </c>
      <c r="G52" s="697" t="s">
        <v>464</v>
      </c>
      <c r="H52" s="2203" t="s">
        <v>464</v>
      </c>
      <c r="I52" s="1816" t="s">
        <v>464</v>
      </c>
      <c r="J52" s="1820" t="s">
        <v>464</v>
      </c>
      <c r="K52" s="543" t="s">
        <v>593</v>
      </c>
    </row>
    <row r="53" spans="1:11" ht="18.75">
      <c r="A53" s="712" t="s">
        <v>594</v>
      </c>
      <c r="B53" s="695" t="s">
        <v>464</v>
      </c>
      <c r="C53" s="696" t="s">
        <v>464</v>
      </c>
      <c r="D53" s="697" t="s">
        <v>464</v>
      </c>
      <c r="E53" s="695" t="s">
        <v>464</v>
      </c>
      <c r="F53" s="696" t="s">
        <v>464</v>
      </c>
      <c r="G53" s="697" t="s">
        <v>464</v>
      </c>
      <c r="H53" s="40">
        <v>1295</v>
      </c>
      <c r="I53" s="79">
        <f>(J53*1000)/H53</f>
        <v>2718.1467181467183</v>
      </c>
      <c r="J53" s="39">
        <v>3520</v>
      </c>
      <c r="K53" s="543" t="s">
        <v>594</v>
      </c>
    </row>
    <row r="54" spans="1:11" ht="18.75">
      <c r="A54" s="712" t="s">
        <v>599</v>
      </c>
      <c r="B54" s="695" t="s">
        <v>464</v>
      </c>
      <c r="C54" s="696" t="s">
        <v>464</v>
      </c>
      <c r="D54" s="697" t="s">
        <v>464</v>
      </c>
      <c r="E54" s="695" t="s">
        <v>464</v>
      </c>
      <c r="F54" s="696" t="s">
        <v>464</v>
      </c>
      <c r="G54" s="697" t="s">
        <v>464</v>
      </c>
      <c r="H54" s="1818">
        <v>70</v>
      </c>
      <c r="I54" s="79">
        <f>(J54*1000)/H54</f>
        <v>2785.714285714286</v>
      </c>
      <c r="J54" s="1819">
        <v>195</v>
      </c>
      <c r="K54" s="543" t="s">
        <v>599</v>
      </c>
    </row>
    <row r="55" spans="1:11" ht="18.75">
      <c r="A55" s="712" t="s">
        <v>598</v>
      </c>
      <c r="B55" s="695" t="s">
        <v>464</v>
      </c>
      <c r="C55" s="696" t="s">
        <v>464</v>
      </c>
      <c r="D55" s="697" t="s">
        <v>464</v>
      </c>
      <c r="E55" s="695" t="s">
        <v>464</v>
      </c>
      <c r="F55" s="696" t="s">
        <v>464</v>
      </c>
      <c r="G55" s="697" t="s">
        <v>464</v>
      </c>
      <c r="H55" s="695" t="s">
        <v>464</v>
      </c>
      <c r="I55" s="696" t="s">
        <v>464</v>
      </c>
      <c r="J55" s="697" t="s">
        <v>464</v>
      </c>
      <c r="K55" s="543" t="s">
        <v>598</v>
      </c>
    </row>
    <row r="56" spans="1:11" ht="18.75">
      <c r="A56" s="70"/>
      <c r="B56" s="892"/>
      <c r="C56" s="893"/>
      <c r="D56" s="894"/>
      <c r="E56" s="892"/>
      <c r="F56" s="893"/>
      <c r="G56" s="894"/>
      <c r="H56" s="67"/>
      <c r="I56" s="50"/>
      <c r="J56" s="51"/>
      <c r="K56" s="543"/>
    </row>
    <row r="57" spans="1:11" ht="19.5">
      <c r="A57" s="713" t="s">
        <v>601</v>
      </c>
      <c r="B57" s="695" t="s">
        <v>464</v>
      </c>
      <c r="C57" s="696" t="s">
        <v>464</v>
      </c>
      <c r="D57" s="697" t="s">
        <v>464</v>
      </c>
      <c r="E57" s="695" t="s">
        <v>464</v>
      </c>
      <c r="F57" s="696" t="s">
        <v>464</v>
      </c>
      <c r="G57" s="697" t="s">
        <v>464</v>
      </c>
      <c r="H57" s="695" t="s">
        <v>464</v>
      </c>
      <c r="I57" s="696" t="s">
        <v>464</v>
      </c>
      <c r="J57" s="697" t="s">
        <v>464</v>
      </c>
      <c r="K57" s="544" t="s">
        <v>602</v>
      </c>
    </row>
    <row r="58" spans="1:11" ht="18.75">
      <c r="A58" s="712" t="s">
        <v>603</v>
      </c>
      <c r="B58" s="695" t="s">
        <v>464</v>
      </c>
      <c r="C58" s="696" t="s">
        <v>464</v>
      </c>
      <c r="D58" s="697" t="s">
        <v>464</v>
      </c>
      <c r="E58" s="695" t="s">
        <v>464</v>
      </c>
      <c r="F58" s="696" t="s">
        <v>464</v>
      </c>
      <c r="G58" s="697" t="s">
        <v>464</v>
      </c>
      <c r="H58" s="695" t="s">
        <v>464</v>
      </c>
      <c r="I58" s="696" t="s">
        <v>464</v>
      </c>
      <c r="J58" s="697" t="s">
        <v>464</v>
      </c>
      <c r="K58" s="543" t="s">
        <v>604</v>
      </c>
    </row>
    <row r="59" spans="1:11" ht="18.75">
      <c r="A59" s="712" t="s">
        <v>605</v>
      </c>
      <c r="B59" s="695" t="s">
        <v>464</v>
      </c>
      <c r="C59" s="696" t="s">
        <v>464</v>
      </c>
      <c r="D59" s="697" t="s">
        <v>464</v>
      </c>
      <c r="E59" s="695" t="s">
        <v>464</v>
      </c>
      <c r="F59" s="696" t="s">
        <v>464</v>
      </c>
      <c r="G59" s="697" t="s">
        <v>464</v>
      </c>
      <c r="H59" s="695" t="s">
        <v>464</v>
      </c>
      <c r="I59" s="696" t="s">
        <v>464</v>
      </c>
      <c r="J59" s="697" t="s">
        <v>464</v>
      </c>
      <c r="K59" s="543" t="s">
        <v>606</v>
      </c>
    </row>
    <row r="60" spans="1:11" ht="18.75">
      <c r="A60" s="712" t="s">
        <v>607</v>
      </c>
      <c r="B60" s="695" t="s">
        <v>464</v>
      </c>
      <c r="C60" s="696" t="s">
        <v>464</v>
      </c>
      <c r="D60" s="697" t="s">
        <v>464</v>
      </c>
      <c r="E60" s="695" t="s">
        <v>464</v>
      </c>
      <c r="F60" s="696" t="s">
        <v>464</v>
      </c>
      <c r="G60" s="697" t="s">
        <v>464</v>
      </c>
      <c r="H60" s="695" t="s">
        <v>464</v>
      </c>
      <c r="I60" s="696" t="s">
        <v>464</v>
      </c>
      <c r="J60" s="697" t="s">
        <v>464</v>
      </c>
      <c r="K60" s="543" t="s">
        <v>607</v>
      </c>
    </row>
    <row r="61" spans="1:11" ht="18.75">
      <c r="A61" s="712" t="s">
        <v>608</v>
      </c>
      <c r="B61" s="695" t="s">
        <v>464</v>
      </c>
      <c r="C61" s="696" t="s">
        <v>464</v>
      </c>
      <c r="D61" s="697" t="s">
        <v>464</v>
      </c>
      <c r="E61" s="695" t="s">
        <v>464</v>
      </c>
      <c r="F61" s="696" t="s">
        <v>464</v>
      </c>
      <c r="G61" s="697" t="s">
        <v>464</v>
      </c>
      <c r="H61" s="695" t="s">
        <v>464</v>
      </c>
      <c r="I61" s="696" t="s">
        <v>464</v>
      </c>
      <c r="J61" s="697" t="s">
        <v>464</v>
      </c>
      <c r="K61" s="543" t="s">
        <v>608</v>
      </c>
    </row>
    <row r="62" spans="1:11" s="32" customFormat="1" ht="18.75">
      <c r="A62" s="71"/>
      <c r="B62" s="895"/>
      <c r="C62" s="896"/>
      <c r="D62" s="897"/>
      <c r="E62" s="895"/>
      <c r="F62" s="896"/>
      <c r="G62" s="897"/>
      <c r="H62" s="65"/>
      <c r="I62" s="49"/>
      <c r="J62" s="66"/>
      <c r="K62" s="545"/>
    </row>
    <row r="63" spans="1:11" ht="19.5">
      <c r="A63" s="806" t="s">
        <v>1286</v>
      </c>
      <c r="B63" s="695" t="s">
        <v>464</v>
      </c>
      <c r="C63" s="696" t="s">
        <v>464</v>
      </c>
      <c r="D63" s="697" t="s">
        <v>464</v>
      </c>
      <c r="E63" s="695" t="s">
        <v>464</v>
      </c>
      <c r="F63" s="696" t="s">
        <v>464</v>
      </c>
      <c r="G63" s="697" t="s">
        <v>464</v>
      </c>
      <c r="H63" s="720">
        <f>SUM(H64:H65)</f>
        <v>1752</v>
      </c>
      <c r="I63" s="91">
        <f>(J63*1000)/H63</f>
        <v>2696.917808219178</v>
      </c>
      <c r="J63" s="721">
        <f>SUM(J64:J65)</f>
        <v>4725</v>
      </c>
      <c r="K63" s="408" t="s">
        <v>1286</v>
      </c>
    </row>
    <row r="64" spans="1:11" ht="18.75">
      <c r="A64" s="70" t="s">
        <v>586</v>
      </c>
      <c r="B64" s="695" t="s">
        <v>464</v>
      </c>
      <c r="C64" s="696" t="s">
        <v>464</v>
      </c>
      <c r="D64" s="697" t="s">
        <v>464</v>
      </c>
      <c r="E64" s="695" t="s">
        <v>464</v>
      </c>
      <c r="F64" s="696" t="s">
        <v>464</v>
      </c>
      <c r="G64" s="697" t="s">
        <v>464</v>
      </c>
      <c r="H64" s="67">
        <v>728</v>
      </c>
      <c r="I64" s="79">
        <f>(J64*1000)/H64</f>
        <v>2630.4945054945056</v>
      </c>
      <c r="J64" s="51">
        <v>1915</v>
      </c>
      <c r="K64" s="543" t="s">
        <v>586</v>
      </c>
    </row>
    <row r="65" spans="1:11" ht="18.75">
      <c r="A65" s="70" t="s">
        <v>587</v>
      </c>
      <c r="B65" s="695" t="s">
        <v>464</v>
      </c>
      <c r="C65" s="696" t="s">
        <v>464</v>
      </c>
      <c r="D65" s="697" t="s">
        <v>464</v>
      </c>
      <c r="E65" s="695" t="s">
        <v>464</v>
      </c>
      <c r="F65" s="696" t="s">
        <v>464</v>
      </c>
      <c r="G65" s="697" t="s">
        <v>464</v>
      </c>
      <c r="H65" s="67">
        <v>1024</v>
      </c>
      <c r="I65" s="79">
        <f>(J65*1000)/H65</f>
        <v>2744.140625</v>
      </c>
      <c r="J65" s="51">
        <v>2810</v>
      </c>
      <c r="K65" s="543" t="s">
        <v>587</v>
      </c>
    </row>
    <row r="66" spans="1:11" ht="18.75">
      <c r="A66" s="70"/>
      <c r="B66" s="892"/>
      <c r="C66" s="893"/>
      <c r="D66" s="894"/>
      <c r="E66" s="892"/>
      <c r="F66" s="893"/>
      <c r="G66" s="894"/>
      <c r="H66" s="67"/>
      <c r="I66" s="50"/>
      <c r="J66" s="51"/>
      <c r="K66" s="543"/>
    </row>
    <row r="67" spans="1:11" ht="19.5">
      <c r="A67" s="806" t="s">
        <v>1287</v>
      </c>
      <c r="B67" s="695" t="s">
        <v>464</v>
      </c>
      <c r="C67" s="696" t="s">
        <v>464</v>
      </c>
      <c r="D67" s="697" t="s">
        <v>464</v>
      </c>
      <c r="E67" s="695" t="s">
        <v>464</v>
      </c>
      <c r="F67" s="696" t="s">
        <v>464</v>
      </c>
      <c r="G67" s="697" t="s">
        <v>464</v>
      </c>
      <c r="H67" s="720">
        <f>SUM(H68:H70)</f>
        <v>779</v>
      </c>
      <c r="I67" s="91">
        <f>(J67*1000)/H67</f>
        <v>2501.925545571245</v>
      </c>
      <c r="J67" s="721">
        <f>SUM(J68:J70)</f>
        <v>1949</v>
      </c>
      <c r="K67" s="408" t="s">
        <v>1287</v>
      </c>
    </row>
    <row r="68" spans="1:11" ht="18.75">
      <c r="A68" s="70" t="s">
        <v>1273</v>
      </c>
      <c r="B68" s="695" t="s">
        <v>464</v>
      </c>
      <c r="C68" s="696" t="s">
        <v>464</v>
      </c>
      <c r="D68" s="697" t="s">
        <v>464</v>
      </c>
      <c r="E68" s="695" t="s">
        <v>464</v>
      </c>
      <c r="F68" s="696" t="s">
        <v>464</v>
      </c>
      <c r="G68" s="697" t="s">
        <v>464</v>
      </c>
      <c r="H68" s="695" t="s">
        <v>464</v>
      </c>
      <c r="I68" s="696" t="s">
        <v>464</v>
      </c>
      <c r="J68" s="697" t="s">
        <v>464</v>
      </c>
      <c r="K68" s="543" t="s">
        <v>1273</v>
      </c>
    </row>
    <row r="69" spans="1:11" ht="18.75">
      <c r="A69" s="70" t="s">
        <v>596</v>
      </c>
      <c r="B69" s="695" t="s">
        <v>464</v>
      </c>
      <c r="C69" s="696" t="s">
        <v>464</v>
      </c>
      <c r="D69" s="697" t="s">
        <v>464</v>
      </c>
      <c r="E69" s="695" t="s">
        <v>464</v>
      </c>
      <c r="F69" s="696" t="s">
        <v>464</v>
      </c>
      <c r="G69" s="697" t="s">
        <v>464</v>
      </c>
      <c r="H69" s="67">
        <v>11</v>
      </c>
      <c r="I69" s="79">
        <f>(J69*1000)/H69</f>
        <v>2909.090909090909</v>
      </c>
      <c r="J69" s="51">
        <v>32</v>
      </c>
      <c r="K69" s="543" t="s">
        <v>596</v>
      </c>
    </row>
    <row r="70" spans="1:11" ht="19.5" thickBot="1">
      <c r="A70" s="72" t="s">
        <v>595</v>
      </c>
      <c r="B70" s="702" t="s">
        <v>464</v>
      </c>
      <c r="C70" s="703" t="s">
        <v>464</v>
      </c>
      <c r="D70" s="705" t="s">
        <v>464</v>
      </c>
      <c r="E70" s="702" t="s">
        <v>464</v>
      </c>
      <c r="F70" s="703" t="s">
        <v>464</v>
      </c>
      <c r="G70" s="705" t="s">
        <v>464</v>
      </c>
      <c r="H70" s="807">
        <v>768</v>
      </c>
      <c r="I70" s="144">
        <f>(J70*1000)/H70</f>
        <v>2496.09375</v>
      </c>
      <c r="J70" s="808">
        <v>1917</v>
      </c>
      <c r="K70" s="546" t="s">
        <v>595</v>
      </c>
    </row>
  </sheetData>
  <sheetProtection/>
  <mergeCells count="3">
    <mergeCell ref="B40:D40"/>
    <mergeCell ref="E40:G40"/>
    <mergeCell ref="H40:J40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zoomScale="65" zoomScaleNormal="65" zoomScalePageLayoutView="0" workbookViewId="0" topLeftCell="A1">
      <selection activeCell="H47" sqref="H47"/>
    </sheetView>
  </sheetViews>
  <sheetFormatPr defaultColWidth="9.7109375" defaultRowHeight="12.75"/>
  <cols>
    <col min="1" max="1" width="19.7109375" style="18" customWidth="1"/>
    <col min="2" max="3" width="10.57421875" style="18" customWidth="1"/>
    <col min="4" max="4" width="12.57421875" style="18" customWidth="1"/>
    <col min="5" max="6" width="10.57421875" style="18" customWidth="1"/>
    <col min="7" max="7" width="12.421875" style="18" customWidth="1"/>
    <col min="8" max="8" width="10.57421875" style="18" customWidth="1"/>
    <col min="9" max="9" width="11.8515625" style="18" customWidth="1"/>
    <col min="10" max="10" width="12.28125" style="2660" customWidth="1"/>
    <col min="11" max="11" width="18.421875" style="33" customWidth="1"/>
    <col min="12" max="12" width="14.8515625" style="407" customWidth="1"/>
    <col min="13" max="13" width="14.8515625" style="2312" customWidth="1"/>
    <col min="14" max="14" width="14.8515625" style="407" customWidth="1"/>
    <col min="15" max="16384" width="9.7109375" style="18" customWidth="1"/>
  </cols>
  <sheetData>
    <row r="1" spans="1:11" ht="15.75" customHeight="1">
      <c r="A1" s="30" t="s">
        <v>615</v>
      </c>
      <c r="B1" s="19"/>
      <c r="C1" s="19"/>
      <c r="D1" s="19"/>
      <c r="E1" s="19"/>
      <c r="F1" s="19"/>
      <c r="G1" s="19"/>
      <c r="H1" s="19"/>
      <c r="I1" s="19"/>
      <c r="J1" s="2355"/>
      <c r="K1" s="31"/>
    </row>
    <row r="2" spans="1:11" ht="15.75" customHeight="1" thickBot="1">
      <c r="A2" s="19"/>
      <c r="B2" s="19"/>
      <c r="C2" s="19"/>
      <c r="D2" s="19"/>
      <c r="E2" s="19"/>
      <c r="F2" s="19"/>
      <c r="G2" s="19"/>
      <c r="H2" s="19"/>
      <c r="I2" s="19"/>
      <c r="J2" s="2355"/>
      <c r="K2" s="31"/>
    </row>
    <row r="3" spans="1:12" ht="19.5" customHeight="1" thickBot="1">
      <c r="A3" s="60"/>
      <c r="B3" s="2865" t="s">
        <v>616</v>
      </c>
      <c r="C3" s="2866"/>
      <c r="D3" s="2867"/>
      <c r="E3" s="2865" t="s">
        <v>619</v>
      </c>
      <c r="F3" s="2866"/>
      <c r="G3" s="2867"/>
      <c r="H3" s="2865" t="s">
        <v>620</v>
      </c>
      <c r="I3" s="2866"/>
      <c r="J3" s="2866"/>
      <c r="K3" s="62"/>
      <c r="L3" s="407" t="s">
        <v>1206</v>
      </c>
    </row>
    <row r="4" spans="1:11" ht="20.25" customHeight="1">
      <c r="A4" s="56" t="s">
        <v>566</v>
      </c>
      <c r="B4" s="20" t="s">
        <v>567</v>
      </c>
      <c r="C4" s="20" t="s">
        <v>568</v>
      </c>
      <c r="D4" s="20" t="s">
        <v>569</v>
      </c>
      <c r="E4" s="20" t="s">
        <v>567</v>
      </c>
      <c r="F4" s="20" t="s">
        <v>568</v>
      </c>
      <c r="G4" s="20" t="s">
        <v>569</v>
      </c>
      <c r="H4" s="20" t="s">
        <v>621</v>
      </c>
      <c r="I4" s="20" t="s">
        <v>568</v>
      </c>
      <c r="J4" s="2650" t="s">
        <v>569</v>
      </c>
      <c r="K4" s="58" t="s">
        <v>570</v>
      </c>
    </row>
    <row r="5" spans="1:14" s="33" customFormat="1" ht="19.5" customHeight="1">
      <c r="A5" s="56" t="s">
        <v>571</v>
      </c>
      <c r="B5" s="41" t="s">
        <v>572</v>
      </c>
      <c r="C5" s="41" t="s">
        <v>573</v>
      </c>
      <c r="D5" s="41" t="s">
        <v>574</v>
      </c>
      <c r="E5" s="41" t="s">
        <v>572</v>
      </c>
      <c r="F5" s="41" t="s">
        <v>573</v>
      </c>
      <c r="G5" s="41" t="s">
        <v>574</v>
      </c>
      <c r="H5" s="41" t="s">
        <v>622</v>
      </c>
      <c r="I5" s="41" t="s">
        <v>573</v>
      </c>
      <c r="J5" s="2651" t="s">
        <v>574</v>
      </c>
      <c r="K5" s="41" t="s">
        <v>575</v>
      </c>
      <c r="L5" s="1625"/>
      <c r="M5" s="2313"/>
      <c r="N5" s="1625"/>
    </row>
    <row r="6" spans="1:11" ht="16.5" customHeight="1" thickBot="1">
      <c r="A6" s="21"/>
      <c r="B6" s="42" t="s">
        <v>444</v>
      </c>
      <c r="C6" s="42" t="s">
        <v>576</v>
      </c>
      <c r="D6" s="42" t="s">
        <v>577</v>
      </c>
      <c r="E6" s="42" t="s">
        <v>444</v>
      </c>
      <c r="F6" s="42" t="s">
        <v>576</v>
      </c>
      <c r="G6" s="42" t="s">
        <v>577</v>
      </c>
      <c r="H6" s="42" t="s">
        <v>444</v>
      </c>
      <c r="I6" s="42" t="s">
        <v>576</v>
      </c>
      <c r="J6" s="2652" t="s">
        <v>577</v>
      </c>
      <c r="K6" s="64"/>
    </row>
    <row r="7" spans="1:11" s="32" customFormat="1" ht="21.75" customHeight="1" thickBot="1">
      <c r="A7" s="903" t="s">
        <v>578</v>
      </c>
      <c r="B7" s="1804">
        <f>SUM(B13+B26+B30)</f>
        <v>3521</v>
      </c>
      <c r="C7" s="1805">
        <f>(D7*1000)/B7</f>
        <v>2473.4450440215846</v>
      </c>
      <c r="D7" s="1806">
        <f>SUM(D13+D26+D30)</f>
        <v>8709</v>
      </c>
      <c r="E7" s="47">
        <f>SUM(E26+E30)</f>
        <v>144</v>
      </c>
      <c r="F7" s="45">
        <f>(G7*1000)/E7</f>
        <v>4121.527777777777</v>
      </c>
      <c r="G7" s="2708">
        <f>SUM(G26+G30)</f>
        <v>593.5</v>
      </c>
      <c r="H7" s="913">
        <f>SUM(H13+H20+H26+H30)</f>
        <v>1007</v>
      </c>
      <c r="I7" s="914">
        <f>(J7*1000)/H7</f>
        <v>3069.5134061569015</v>
      </c>
      <c r="J7" s="2653">
        <f>SUM(J13+J20+J26+J30)</f>
        <v>3091</v>
      </c>
      <c r="K7" s="904" t="s">
        <v>579</v>
      </c>
    </row>
    <row r="8" spans="1:11" s="32" customFormat="1" ht="20.25" customHeight="1">
      <c r="A8" s="711" t="s">
        <v>580</v>
      </c>
      <c r="B8" s="1807" t="s">
        <v>464</v>
      </c>
      <c r="C8" s="1808" t="s">
        <v>464</v>
      </c>
      <c r="D8" s="1809" t="s">
        <v>464</v>
      </c>
      <c r="E8" s="905" t="s">
        <v>464</v>
      </c>
      <c r="F8" s="906" t="s">
        <v>464</v>
      </c>
      <c r="G8" s="907" t="s">
        <v>464</v>
      </c>
      <c r="H8" s="917" t="s">
        <v>464</v>
      </c>
      <c r="I8" s="918" t="s">
        <v>464</v>
      </c>
      <c r="J8" s="919" t="s">
        <v>464</v>
      </c>
      <c r="K8" s="542" t="s">
        <v>581</v>
      </c>
    </row>
    <row r="9" spans="1:11" ht="15.75" customHeight="1">
      <c r="A9" s="712" t="s">
        <v>582</v>
      </c>
      <c r="B9" s="1807" t="s">
        <v>464</v>
      </c>
      <c r="C9" s="1808" t="s">
        <v>464</v>
      </c>
      <c r="D9" s="1809" t="s">
        <v>464</v>
      </c>
      <c r="E9" s="905" t="s">
        <v>464</v>
      </c>
      <c r="F9" s="906" t="s">
        <v>464</v>
      </c>
      <c r="G9" s="907" t="s">
        <v>464</v>
      </c>
      <c r="H9" s="917" t="s">
        <v>464</v>
      </c>
      <c r="I9" s="918" t="s">
        <v>464</v>
      </c>
      <c r="J9" s="919" t="s">
        <v>464</v>
      </c>
      <c r="K9" s="543" t="s">
        <v>583</v>
      </c>
    </row>
    <row r="10" spans="1:11" ht="15.75" customHeight="1">
      <c r="A10" s="712" t="s">
        <v>584</v>
      </c>
      <c r="B10" s="1807" t="s">
        <v>464</v>
      </c>
      <c r="C10" s="1808" t="s">
        <v>464</v>
      </c>
      <c r="D10" s="1809" t="s">
        <v>464</v>
      </c>
      <c r="E10" s="905" t="s">
        <v>464</v>
      </c>
      <c r="F10" s="906" t="s">
        <v>464</v>
      </c>
      <c r="G10" s="907" t="s">
        <v>464</v>
      </c>
      <c r="H10" s="917" t="s">
        <v>464</v>
      </c>
      <c r="I10" s="918" t="s">
        <v>464</v>
      </c>
      <c r="J10" s="919" t="s">
        <v>464</v>
      </c>
      <c r="K10" s="543" t="s">
        <v>584</v>
      </c>
    </row>
    <row r="11" spans="1:11" ht="15.75" customHeight="1">
      <c r="A11" s="712" t="s">
        <v>585</v>
      </c>
      <c r="B11" s="1807" t="s">
        <v>464</v>
      </c>
      <c r="C11" s="1808" t="s">
        <v>464</v>
      </c>
      <c r="D11" s="1809" t="s">
        <v>464</v>
      </c>
      <c r="E11" s="905" t="s">
        <v>464</v>
      </c>
      <c r="F11" s="906" t="s">
        <v>464</v>
      </c>
      <c r="G11" s="907" t="s">
        <v>464</v>
      </c>
      <c r="H11" s="917" t="s">
        <v>464</v>
      </c>
      <c r="I11" s="918" t="s">
        <v>464</v>
      </c>
      <c r="J11" s="919" t="s">
        <v>464</v>
      </c>
      <c r="K11" s="543" t="s">
        <v>585</v>
      </c>
    </row>
    <row r="12" spans="1:11" ht="15.75" customHeight="1">
      <c r="A12" s="712"/>
      <c r="B12" s="1810"/>
      <c r="C12" s="79"/>
      <c r="D12" s="1811"/>
      <c r="E12" s="67"/>
      <c r="F12" s="79"/>
      <c r="G12" s="39"/>
      <c r="H12" s="908"/>
      <c r="I12" s="131"/>
      <c r="J12" s="920"/>
      <c r="K12" s="543"/>
    </row>
    <row r="13" spans="1:11" ht="21" customHeight="1">
      <c r="A13" s="713" t="s">
        <v>588</v>
      </c>
      <c r="B13" s="720">
        <f>SUM(B14:B18)</f>
        <v>1535</v>
      </c>
      <c r="C13" s="91">
        <f>(D13*1000)/B13</f>
        <v>2517.2638436482084</v>
      </c>
      <c r="D13" s="1812">
        <f>SUM(D14:D18)</f>
        <v>3864</v>
      </c>
      <c r="E13" s="905" t="s">
        <v>464</v>
      </c>
      <c r="F13" s="906" t="s">
        <v>464</v>
      </c>
      <c r="G13" s="907" t="s">
        <v>464</v>
      </c>
      <c r="H13" s="909">
        <f>SUM(H14:H18)</f>
        <v>446</v>
      </c>
      <c r="I13" s="921">
        <f>(J13*1000)/H13</f>
        <v>2780.269058295964</v>
      </c>
      <c r="J13" s="922">
        <f>SUM(J14:J18)</f>
        <v>1240</v>
      </c>
      <c r="K13" s="544" t="s">
        <v>589</v>
      </c>
    </row>
    <row r="14" spans="1:11" ht="15.75" customHeight="1">
      <c r="A14" s="712" t="s">
        <v>590</v>
      </c>
      <c r="B14" s="1810">
        <v>25</v>
      </c>
      <c r="C14" s="79">
        <f>(D14*1000)/B14</f>
        <v>3160</v>
      </c>
      <c r="D14" s="1811">
        <v>79</v>
      </c>
      <c r="E14" s="905" t="s">
        <v>464</v>
      </c>
      <c r="F14" s="906" t="s">
        <v>464</v>
      </c>
      <c r="G14" s="907" t="s">
        <v>464</v>
      </c>
      <c r="H14" s="908">
        <f>5+15</f>
        <v>20</v>
      </c>
      <c r="I14" s="131">
        <f>(J14*1000)/H14</f>
        <v>750</v>
      </c>
      <c r="J14" s="2654">
        <v>15</v>
      </c>
      <c r="K14" s="543" t="s">
        <v>591</v>
      </c>
    </row>
    <row r="15" spans="1:11" s="32" customFormat="1" ht="15.75" customHeight="1">
      <c r="A15" s="712" t="s">
        <v>592</v>
      </c>
      <c r="B15" s="1807" t="s">
        <v>464</v>
      </c>
      <c r="C15" s="1808" t="s">
        <v>464</v>
      </c>
      <c r="D15" s="1809" t="s">
        <v>464</v>
      </c>
      <c r="E15" s="905" t="s">
        <v>464</v>
      </c>
      <c r="F15" s="906" t="s">
        <v>464</v>
      </c>
      <c r="G15" s="907" t="s">
        <v>464</v>
      </c>
      <c r="H15" s="864">
        <v>1</v>
      </c>
      <c r="I15" s="2315" t="s">
        <v>464</v>
      </c>
      <c r="J15" s="2662" t="s">
        <v>464</v>
      </c>
      <c r="K15" s="543" t="s">
        <v>593</v>
      </c>
    </row>
    <row r="16" spans="1:11" ht="15.75" customHeight="1">
      <c r="A16" s="712" t="s">
        <v>594</v>
      </c>
      <c r="B16" s="1810">
        <v>1415</v>
      </c>
      <c r="C16" s="79">
        <f>(D16*1000)/B16</f>
        <v>2494.6996466431096</v>
      </c>
      <c r="D16" s="1811">
        <v>3530</v>
      </c>
      <c r="E16" s="905" t="s">
        <v>464</v>
      </c>
      <c r="F16" s="906" t="s">
        <v>464</v>
      </c>
      <c r="G16" s="907" t="s">
        <v>464</v>
      </c>
      <c r="H16" s="908">
        <v>425</v>
      </c>
      <c r="I16" s="131">
        <f>(J16*1000)/H16</f>
        <v>2882.3529411764707</v>
      </c>
      <c r="J16" s="2662">
        <v>1225</v>
      </c>
      <c r="K16" s="543" t="s">
        <v>594</v>
      </c>
    </row>
    <row r="17" spans="1:11" ht="15.75" customHeight="1">
      <c r="A17" s="712" t="s">
        <v>599</v>
      </c>
      <c r="B17" s="1810">
        <v>95</v>
      </c>
      <c r="C17" s="79">
        <f>(D17*1000)/B17</f>
        <v>2684.2105263157896</v>
      </c>
      <c r="D17" s="1811">
        <v>255</v>
      </c>
      <c r="E17" s="905" t="s">
        <v>464</v>
      </c>
      <c r="F17" s="906" t="s">
        <v>464</v>
      </c>
      <c r="G17" s="907" t="s">
        <v>464</v>
      </c>
      <c r="H17" s="917" t="s">
        <v>464</v>
      </c>
      <c r="I17" s="918" t="s">
        <v>464</v>
      </c>
      <c r="J17" s="919" t="s">
        <v>464</v>
      </c>
      <c r="K17" s="543" t="s">
        <v>599</v>
      </c>
    </row>
    <row r="18" spans="1:11" ht="15.75" customHeight="1">
      <c r="A18" s="712" t="s">
        <v>598</v>
      </c>
      <c r="B18" s="1807" t="s">
        <v>464</v>
      </c>
      <c r="C18" s="1808" t="s">
        <v>464</v>
      </c>
      <c r="D18" s="1809" t="s">
        <v>464</v>
      </c>
      <c r="E18" s="905" t="s">
        <v>464</v>
      </c>
      <c r="F18" s="906" t="s">
        <v>464</v>
      </c>
      <c r="G18" s="907" t="s">
        <v>464</v>
      </c>
      <c r="H18" s="917" t="s">
        <v>464</v>
      </c>
      <c r="I18" s="918" t="s">
        <v>464</v>
      </c>
      <c r="J18" s="919" t="s">
        <v>464</v>
      </c>
      <c r="K18" s="543" t="s">
        <v>598</v>
      </c>
    </row>
    <row r="19" spans="1:11" ht="15.75" customHeight="1">
      <c r="A19" s="70"/>
      <c r="B19" s="1810"/>
      <c r="C19" s="83"/>
      <c r="D19" s="1813"/>
      <c r="E19" s="802"/>
      <c r="F19" s="129"/>
      <c r="G19" s="803"/>
      <c r="H19" s="908"/>
      <c r="I19" s="2316"/>
      <c r="J19" s="2655"/>
      <c r="K19" s="543"/>
    </row>
    <row r="20" spans="1:11" ht="20.25" customHeight="1">
      <c r="A20" s="713" t="s">
        <v>601</v>
      </c>
      <c r="B20" s="1807" t="s">
        <v>464</v>
      </c>
      <c r="C20" s="1808" t="s">
        <v>464</v>
      </c>
      <c r="D20" s="1809" t="s">
        <v>464</v>
      </c>
      <c r="E20" s="905" t="s">
        <v>464</v>
      </c>
      <c r="F20" s="906" t="s">
        <v>464</v>
      </c>
      <c r="G20" s="907" t="s">
        <v>464</v>
      </c>
      <c r="H20" s="909">
        <f>SUM(H21:H24)</f>
        <v>38</v>
      </c>
      <c r="I20" s="921">
        <f>(J20*1000)/H20</f>
        <v>1578.9473684210527</v>
      </c>
      <c r="J20" s="922">
        <f>SUM(J21:J24)</f>
        <v>60</v>
      </c>
      <c r="K20" s="544" t="s">
        <v>602</v>
      </c>
    </row>
    <row r="21" spans="1:11" ht="15.75" customHeight="1">
      <c r="A21" s="712" t="s">
        <v>603</v>
      </c>
      <c r="B21" s="1807" t="s">
        <v>464</v>
      </c>
      <c r="C21" s="1808" t="s">
        <v>464</v>
      </c>
      <c r="D21" s="1809" t="s">
        <v>464</v>
      </c>
      <c r="E21" s="905" t="s">
        <v>464</v>
      </c>
      <c r="F21" s="906" t="s">
        <v>464</v>
      </c>
      <c r="G21" s="907" t="s">
        <v>464</v>
      </c>
      <c r="H21" s="2661">
        <f>5+6</f>
        <v>11</v>
      </c>
      <c r="I21" s="131">
        <f>(J21*1000)/H21</f>
        <v>2545.4545454545455</v>
      </c>
      <c r="J21" s="1830">
        <v>28</v>
      </c>
      <c r="K21" s="543" t="s">
        <v>604</v>
      </c>
    </row>
    <row r="22" spans="1:11" ht="15.75" customHeight="1">
      <c r="A22" s="712" t="s">
        <v>605</v>
      </c>
      <c r="B22" s="1807" t="s">
        <v>464</v>
      </c>
      <c r="C22" s="1808" t="s">
        <v>464</v>
      </c>
      <c r="D22" s="1809" t="s">
        <v>464</v>
      </c>
      <c r="E22" s="905" t="s">
        <v>464</v>
      </c>
      <c r="F22" s="906" t="s">
        <v>464</v>
      </c>
      <c r="G22" s="907" t="s">
        <v>464</v>
      </c>
      <c r="H22" s="1837">
        <v>10</v>
      </c>
      <c r="I22" s="131">
        <f>(J22*1000)/H22</f>
        <v>3200</v>
      </c>
      <c r="J22" s="1838">
        <v>32</v>
      </c>
      <c r="K22" s="543" t="s">
        <v>606</v>
      </c>
    </row>
    <row r="23" spans="1:11" ht="15.75" customHeight="1">
      <c r="A23" s="712" t="s">
        <v>607</v>
      </c>
      <c r="B23" s="1807" t="s">
        <v>464</v>
      </c>
      <c r="C23" s="1808" t="s">
        <v>464</v>
      </c>
      <c r="D23" s="1809" t="s">
        <v>464</v>
      </c>
      <c r="E23" s="905" t="s">
        <v>464</v>
      </c>
      <c r="F23" s="906" t="s">
        <v>464</v>
      </c>
      <c r="G23" s="907" t="s">
        <v>464</v>
      </c>
      <c r="H23" s="1826" t="s">
        <v>464</v>
      </c>
      <c r="I23" s="1827" t="s">
        <v>464</v>
      </c>
      <c r="J23" s="1828" t="s">
        <v>464</v>
      </c>
      <c r="K23" s="543" t="s">
        <v>607</v>
      </c>
    </row>
    <row r="24" spans="1:11" ht="15.75" customHeight="1">
      <c r="A24" s="712" t="s">
        <v>608</v>
      </c>
      <c r="B24" s="1807" t="s">
        <v>464</v>
      </c>
      <c r="C24" s="1808" t="s">
        <v>464</v>
      </c>
      <c r="D24" s="1809" t="s">
        <v>464</v>
      </c>
      <c r="E24" s="905" t="s">
        <v>464</v>
      </c>
      <c r="F24" s="906" t="s">
        <v>464</v>
      </c>
      <c r="G24" s="907" t="s">
        <v>464</v>
      </c>
      <c r="H24" s="1829">
        <v>17</v>
      </c>
      <c r="I24" s="1827" t="s">
        <v>464</v>
      </c>
      <c r="J24" s="1828" t="s">
        <v>464</v>
      </c>
      <c r="K24" s="543" t="s">
        <v>608</v>
      </c>
    </row>
    <row r="25" spans="1:11" s="32" customFormat="1" ht="15.75" customHeight="1">
      <c r="A25" s="71"/>
      <c r="B25" s="720"/>
      <c r="C25" s="1817"/>
      <c r="D25" s="721"/>
      <c r="E25" s="804"/>
      <c r="F25" s="102"/>
      <c r="G25" s="805"/>
      <c r="H25" s="909"/>
      <c r="I25" s="1968"/>
      <c r="J25" s="2656"/>
      <c r="K25" s="545"/>
    </row>
    <row r="26" spans="1:11" ht="18" customHeight="1">
      <c r="A26" s="806" t="s">
        <v>1286</v>
      </c>
      <c r="B26" s="720">
        <f>SUM(B27:B28)</f>
        <v>1023</v>
      </c>
      <c r="C26" s="91">
        <f>(D26*1000)/B26</f>
        <v>2380.254154447703</v>
      </c>
      <c r="D26" s="721">
        <f>SUM(D27:D28)</f>
        <v>2435</v>
      </c>
      <c r="E26" s="788">
        <f>SUM(E27:E28)</f>
        <v>141</v>
      </c>
      <c r="F26" s="91">
        <f>(G26*1000)/E26</f>
        <v>4131.2056737588655</v>
      </c>
      <c r="G26" s="789">
        <f>SUM(G27:G28)</f>
        <v>582.5</v>
      </c>
      <c r="H26" s="2318">
        <f>SUM(H27:H28)</f>
        <v>463</v>
      </c>
      <c r="I26" s="926">
        <f>(J26*1000)/H26</f>
        <v>3466.522678185745</v>
      </c>
      <c r="J26" s="2657">
        <f>SUM(J27:J28)</f>
        <v>1605</v>
      </c>
      <c r="K26" s="408" t="s">
        <v>1286</v>
      </c>
    </row>
    <row r="27" spans="1:11" ht="15.75" customHeight="1">
      <c r="A27" s="70" t="s">
        <v>586</v>
      </c>
      <c r="B27" s="1829">
        <v>580</v>
      </c>
      <c r="C27" s="131">
        <f>(D27*1000)/B27</f>
        <v>2689.655172413793</v>
      </c>
      <c r="D27" s="2311">
        <v>1560</v>
      </c>
      <c r="E27" s="707">
        <v>2</v>
      </c>
      <c r="F27" s="169">
        <f>(G27*1000)/E27</f>
        <v>3250</v>
      </c>
      <c r="G27" s="2707">
        <v>6.5</v>
      </c>
      <c r="H27" s="908">
        <f>126+49</f>
        <v>175</v>
      </c>
      <c r="I27" s="131">
        <f>(J27*1000)/H27</f>
        <v>3594.285714285714</v>
      </c>
      <c r="J27" s="2655">
        <f>101+528</f>
        <v>629</v>
      </c>
      <c r="K27" s="543" t="s">
        <v>586</v>
      </c>
    </row>
    <row r="28" spans="1:11" ht="15.75" customHeight="1">
      <c r="A28" s="70" t="s">
        <v>587</v>
      </c>
      <c r="B28" s="1829">
        <v>443</v>
      </c>
      <c r="C28" s="131">
        <f>(D28*1000)/B28</f>
        <v>1975.1693002257337</v>
      </c>
      <c r="D28" s="2311">
        <v>875</v>
      </c>
      <c r="E28" s="849">
        <v>139</v>
      </c>
      <c r="F28" s="169">
        <f>(G28*1000)/E28</f>
        <v>4143.884892086331</v>
      </c>
      <c r="G28" s="851">
        <v>576</v>
      </c>
      <c r="H28" s="908">
        <f>202+86</f>
        <v>288</v>
      </c>
      <c r="I28" s="131">
        <f>(J28*1000)/H28</f>
        <v>3388.8888888888887</v>
      </c>
      <c r="J28" s="2655">
        <f>291+685</f>
        <v>976</v>
      </c>
      <c r="K28" s="543" t="s">
        <v>587</v>
      </c>
    </row>
    <row r="29" spans="1:11" ht="15.75" customHeight="1">
      <c r="A29" s="70"/>
      <c r="B29" s="1810"/>
      <c r="C29" s="83"/>
      <c r="D29" s="1813"/>
      <c r="E29" s="802"/>
      <c r="F29" s="129"/>
      <c r="G29" s="803"/>
      <c r="H29" s="908"/>
      <c r="I29" s="2316"/>
      <c r="J29" s="2655"/>
      <c r="K29" s="543"/>
    </row>
    <row r="30" spans="1:11" ht="18.75" customHeight="1">
      <c r="A30" s="806" t="s">
        <v>1287</v>
      </c>
      <c r="B30" s="720">
        <f>SUM(B31:B33)</f>
        <v>963</v>
      </c>
      <c r="C30" s="91">
        <f>(D30*1000)/B30</f>
        <v>2502.5960539979233</v>
      </c>
      <c r="D30" s="721">
        <f>SUM(D31:D33)</f>
        <v>2410</v>
      </c>
      <c r="E30" s="788">
        <f>SUM(E31:E33)</f>
        <v>3</v>
      </c>
      <c r="F30" s="91">
        <f>(G30*1000)/E30</f>
        <v>3666.6666666666665</v>
      </c>
      <c r="G30" s="789">
        <f>SUM(G31:G33)</f>
        <v>11</v>
      </c>
      <c r="H30" s="2318">
        <f>SUM(H31:H33)</f>
        <v>60</v>
      </c>
      <c r="I30" s="926">
        <f>(J30*1000)/H30</f>
        <v>3100</v>
      </c>
      <c r="J30" s="2657">
        <f>SUM(J31:J33)</f>
        <v>186</v>
      </c>
      <c r="K30" s="408" t="s">
        <v>1287</v>
      </c>
    </row>
    <row r="31" spans="1:11" ht="19.5" customHeight="1">
      <c r="A31" s="70" t="s">
        <v>1273</v>
      </c>
      <c r="B31" s="1807" t="s">
        <v>464</v>
      </c>
      <c r="C31" s="1808" t="s">
        <v>464</v>
      </c>
      <c r="D31" s="1809" t="s">
        <v>464</v>
      </c>
      <c r="E31" s="905" t="s">
        <v>464</v>
      </c>
      <c r="F31" s="906" t="s">
        <v>464</v>
      </c>
      <c r="G31" s="907" t="s">
        <v>464</v>
      </c>
      <c r="H31" s="2319">
        <v>1</v>
      </c>
      <c r="I31" s="131">
        <f>(J31*1000)/H31</f>
        <v>4000</v>
      </c>
      <c r="J31" s="2654">
        <v>4</v>
      </c>
      <c r="K31" s="543" t="s">
        <v>1273</v>
      </c>
    </row>
    <row r="32" spans="1:11" ht="15.75" customHeight="1">
      <c r="A32" s="70" t="s">
        <v>596</v>
      </c>
      <c r="B32" s="1807" t="s">
        <v>464</v>
      </c>
      <c r="C32" s="1808" t="s">
        <v>464</v>
      </c>
      <c r="D32" s="1809" t="s">
        <v>464</v>
      </c>
      <c r="E32" s="905" t="s">
        <v>464</v>
      </c>
      <c r="F32" s="906" t="s">
        <v>464</v>
      </c>
      <c r="G32" s="907" t="s">
        <v>464</v>
      </c>
      <c r="H32" s="2317">
        <v>1</v>
      </c>
      <c r="I32" s="1827" t="s">
        <v>464</v>
      </c>
      <c r="J32" s="2654" t="s">
        <v>464</v>
      </c>
      <c r="K32" s="543" t="s">
        <v>596</v>
      </c>
    </row>
    <row r="33" spans="1:11" ht="24" customHeight="1" thickBot="1">
      <c r="A33" s="72" t="s">
        <v>595</v>
      </c>
      <c r="B33" s="1814">
        <v>963</v>
      </c>
      <c r="C33" s="144">
        <f>(D33*1000)/B33</f>
        <v>2502.5960539979233</v>
      </c>
      <c r="D33" s="1815">
        <v>2410</v>
      </c>
      <c r="E33" s="2233">
        <v>3</v>
      </c>
      <c r="F33" s="2234">
        <f>(G33*1000)/E33</f>
        <v>3666.6666666666665</v>
      </c>
      <c r="G33" s="2235">
        <v>11</v>
      </c>
      <c r="H33" s="2320">
        <f>15+43</f>
        <v>58</v>
      </c>
      <c r="I33" s="2234">
        <f>(J33*1000)/H33</f>
        <v>3137.9310344827586</v>
      </c>
      <c r="J33" s="2658">
        <f>129+53</f>
        <v>182</v>
      </c>
      <c r="K33" s="546" t="s">
        <v>595</v>
      </c>
    </row>
    <row r="34" spans="1:14" ht="15.75" customHeight="1" hidden="1">
      <c r="A34" s="50"/>
      <c r="B34" s="38"/>
      <c r="C34" s="38"/>
      <c r="D34" s="38"/>
      <c r="E34" s="38"/>
      <c r="F34" s="38"/>
      <c r="G34" s="38"/>
      <c r="H34" s="38"/>
      <c r="I34" s="38"/>
      <c r="J34" s="2659"/>
      <c r="K34" s="540"/>
      <c r="L34" s="407">
        <v>52</v>
      </c>
      <c r="M34" s="2312">
        <v>3129.8076923076924</v>
      </c>
      <c r="N34" s="407">
        <v>162.75</v>
      </c>
    </row>
    <row r="35" spans="1:14" ht="15.75" customHeight="1" hidden="1">
      <c r="A35" s="50"/>
      <c r="B35" s="38"/>
      <c r="C35" s="38"/>
      <c r="D35" s="38"/>
      <c r="E35" s="38"/>
      <c r="F35" s="38"/>
      <c r="G35" s="38"/>
      <c r="H35" s="38"/>
      <c r="I35" s="38"/>
      <c r="J35" s="2659"/>
      <c r="K35" s="540"/>
      <c r="L35" s="407">
        <v>2</v>
      </c>
      <c r="M35" s="2312" t="s">
        <v>464</v>
      </c>
      <c r="N35" s="407" t="s">
        <v>464</v>
      </c>
    </row>
    <row r="36" spans="1:14" ht="15.75" customHeight="1" hidden="1">
      <c r="A36" s="50"/>
      <c r="B36" s="38"/>
      <c r="C36" s="38"/>
      <c r="D36" s="38"/>
      <c r="E36" s="38"/>
      <c r="F36" s="38"/>
      <c r="G36" s="38"/>
      <c r="H36" s="38"/>
      <c r="I36" s="38"/>
      <c r="J36" s="2659"/>
      <c r="K36" s="540"/>
      <c r="L36" s="407">
        <v>1</v>
      </c>
      <c r="M36" s="2312">
        <v>750</v>
      </c>
      <c r="N36" s="407">
        <v>0.75</v>
      </c>
    </row>
    <row r="37" spans="1:14" ht="15.75" customHeight="1" hidden="1">
      <c r="A37" s="50"/>
      <c r="B37" s="38"/>
      <c r="C37" s="38"/>
      <c r="D37" s="38"/>
      <c r="E37" s="38"/>
      <c r="F37" s="38"/>
      <c r="G37" s="38"/>
      <c r="H37" s="38"/>
      <c r="I37" s="38"/>
      <c r="J37" s="2659"/>
      <c r="K37" s="540"/>
      <c r="L37" s="407">
        <v>49</v>
      </c>
      <c r="M37" s="2312">
        <v>3306.122448979592</v>
      </c>
      <c r="N37" s="407">
        <v>162</v>
      </c>
    </row>
    <row r="38" spans="1:11" ht="15.75" customHeight="1" hidden="1">
      <c r="A38" s="50"/>
      <c r="B38" s="38"/>
      <c r="C38" s="38"/>
      <c r="D38" s="38"/>
      <c r="E38" s="38"/>
      <c r="F38" s="38"/>
      <c r="G38" s="38"/>
      <c r="H38" s="38"/>
      <c r="I38" s="38"/>
      <c r="J38" s="2659"/>
      <c r="K38" s="540"/>
    </row>
    <row r="39" spans="1:11" ht="15.75" customHeight="1">
      <c r="A39" s="19" t="s">
        <v>1405</v>
      </c>
      <c r="B39" s="19"/>
      <c r="C39" s="19"/>
      <c r="D39" s="19"/>
      <c r="E39" s="19"/>
      <c r="F39" s="19"/>
      <c r="G39" s="19"/>
      <c r="H39" s="19"/>
      <c r="I39" s="19"/>
      <c r="J39" s="2355"/>
      <c r="K39" s="31"/>
    </row>
    <row r="40" spans="1:11" ht="15.75" customHeight="1" hidden="1">
      <c r="A40" s="19"/>
      <c r="B40" s="19"/>
      <c r="C40" s="19"/>
      <c r="D40" s="19"/>
      <c r="E40" s="19"/>
      <c r="F40" s="19"/>
      <c r="G40" s="19"/>
      <c r="H40" s="19"/>
      <c r="I40" s="19"/>
      <c r="J40" s="2355"/>
      <c r="K40" s="31"/>
    </row>
    <row r="41" spans="1:11" ht="15.75" customHeight="1" thickBot="1">
      <c r="A41" s="19"/>
      <c r="B41" s="19"/>
      <c r="C41" s="19"/>
      <c r="D41" s="19"/>
      <c r="E41" s="19"/>
      <c r="F41" s="19"/>
      <c r="G41" s="19"/>
      <c r="H41" s="19"/>
      <c r="I41" s="19"/>
      <c r="J41" s="2355"/>
      <c r="K41" s="31"/>
    </row>
    <row r="42" spans="1:11" ht="18" customHeight="1" thickBot="1">
      <c r="A42" s="60"/>
      <c r="B42" s="2865" t="s">
        <v>623</v>
      </c>
      <c r="C42" s="2866"/>
      <c r="D42" s="2867"/>
      <c r="E42" s="2865" t="s">
        <v>624</v>
      </c>
      <c r="F42" s="2866"/>
      <c r="G42" s="2867"/>
      <c r="H42" s="2865" t="s">
        <v>386</v>
      </c>
      <c r="I42" s="2866"/>
      <c r="J42" s="2866"/>
      <c r="K42" s="62"/>
    </row>
    <row r="43" spans="1:11" ht="19.5" customHeight="1">
      <c r="A43" s="56" t="s">
        <v>566</v>
      </c>
      <c r="B43" s="20" t="s">
        <v>567</v>
      </c>
      <c r="C43" s="20" t="s">
        <v>568</v>
      </c>
      <c r="D43" s="20" t="s">
        <v>569</v>
      </c>
      <c r="E43" s="20" t="s">
        <v>567</v>
      </c>
      <c r="F43" s="20" t="s">
        <v>568</v>
      </c>
      <c r="G43" s="20" t="s">
        <v>569</v>
      </c>
      <c r="H43" s="20" t="s">
        <v>567</v>
      </c>
      <c r="I43" s="20" t="s">
        <v>568</v>
      </c>
      <c r="J43" s="2650" t="s">
        <v>569</v>
      </c>
      <c r="K43" s="58" t="s">
        <v>570</v>
      </c>
    </row>
    <row r="44" spans="1:14" s="33" customFormat="1" ht="15.75" customHeight="1">
      <c r="A44" s="41" t="s">
        <v>571</v>
      </c>
      <c r="B44" s="41" t="s">
        <v>572</v>
      </c>
      <c r="C44" s="41" t="s">
        <v>573</v>
      </c>
      <c r="D44" s="41" t="s">
        <v>574</v>
      </c>
      <c r="E44" s="41" t="s">
        <v>572</v>
      </c>
      <c r="F44" s="41" t="s">
        <v>573</v>
      </c>
      <c r="G44" s="41" t="s">
        <v>574</v>
      </c>
      <c r="H44" s="41" t="s">
        <v>572</v>
      </c>
      <c r="I44" s="41" t="s">
        <v>573</v>
      </c>
      <c r="J44" s="2651" t="s">
        <v>574</v>
      </c>
      <c r="K44" s="41" t="s">
        <v>575</v>
      </c>
      <c r="L44" s="1625"/>
      <c r="M44" s="2313"/>
      <c r="N44" s="1625"/>
    </row>
    <row r="45" spans="1:11" ht="15.75" customHeight="1" thickBot="1">
      <c r="A45" s="21"/>
      <c r="B45" s="42" t="s">
        <v>444</v>
      </c>
      <c r="C45" s="42" t="s">
        <v>576</v>
      </c>
      <c r="D45" s="42" t="s">
        <v>577</v>
      </c>
      <c r="E45" s="42" t="s">
        <v>444</v>
      </c>
      <c r="F45" s="42" t="s">
        <v>576</v>
      </c>
      <c r="G45" s="42" t="s">
        <v>577</v>
      </c>
      <c r="H45" s="42" t="s">
        <v>444</v>
      </c>
      <c r="I45" s="42" t="s">
        <v>576</v>
      </c>
      <c r="J45" s="2652" t="s">
        <v>577</v>
      </c>
      <c r="K45" s="64"/>
    </row>
    <row r="46" spans="1:14" s="32" customFormat="1" ht="20.25" customHeight="1" thickBot="1">
      <c r="A46" s="136" t="s">
        <v>578</v>
      </c>
      <c r="B46" s="1821">
        <f>SUM(B65)</f>
        <v>6</v>
      </c>
      <c r="C46" s="1822">
        <f>(D46*1000)/B46</f>
        <v>1666.6666666666667</v>
      </c>
      <c r="D46" s="1823">
        <f>SUM(D65)</f>
        <v>10</v>
      </c>
      <c r="E46" s="52">
        <f>SUM(E59+E65+E52)</f>
        <v>36</v>
      </c>
      <c r="F46" s="45">
        <f>(G46*1000)/E46</f>
        <v>2361.1111111111113</v>
      </c>
      <c r="G46" s="47">
        <f>SUM(G59+G65+G52)</f>
        <v>85</v>
      </c>
      <c r="H46" s="913">
        <f>SUM(H52+H65+H69+H59)</f>
        <v>56</v>
      </c>
      <c r="I46" s="914">
        <f>(J46*1000)/H46</f>
        <v>3166.0714285714284</v>
      </c>
      <c r="J46" s="2579">
        <f>SUM(J52+J65+J69+J59)</f>
        <v>177.3</v>
      </c>
      <c r="K46" s="46" t="s">
        <v>579</v>
      </c>
      <c r="L46" s="44"/>
      <c r="M46" s="2314"/>
      <c r="N46" s="44"/>
    </row>
    <row r="47" spans="1:14" s="32" customFormat="1" ht="20.25" customHeight="1">
      <c r="A47" s="711" t="s">
        <v>580</v>
      </c>
      <c r="B47" s="1824" t="s">
        <v>464</v>
      </c>
      <c r="C47" s="1827" t="s">
        <v>464</v>
      </c>
      <c r="D47" s="1825" t="s">
        <v>464</v>
      </c>
      <c r="E47" s="915" t="s">
        <v>464</v>
      </c>
      <c r="F47" s="916" t="s">
        <v>464</v>
      </c>
      <c r="G47" s="916" t="s">
        <v>464</v>
      </c>
      <c r="H47" s="917" t="s">
        <v>464</v>
      </c>
      <c r="I47" s="918" t="s">
        <v>464</v>
      </c>
      <c r="J47" s="919" t="s">
        <v>464</v>
      </c>
      <c r="K47" s="542" t="s">
        <v>581</v>
      </c>
      <c r="L47" s="44"/>
      <c r="M47" s="2314"/>
      <c r="N47" s="44"/>
    </row>
    <row r="48" spans="1:11" ht="15.75" customHeight="1">
      <c r="A48" s="712" t="s">
        <v>582</v>
      </c>
      <c r="B48" s="1826" t="s">
        <v>464</v>
      </c>
      <c r="C48" s="1827" t="s">
        <v>464</v>
      </c>
      <c r="D48" s="1828" t="s">
        <v>464</v>
      </c>
      <c r="E48" s="905" t="s">
        <v>464</v>
      </c>
      <c r="F48" s="906" t="s">
        <v>464</v>
      </c>
      <c r="G48" s="907" t="s">
        <v>464</v>
      </c>
      <c r="H48" s="917" t="s">
        <v>464</v>
      </c>
      <c r="I48" s="918" t="s">
        <v>464</v>
      </c>
      <c r="J48" s="919" t="s">
        <v>464</v>
      </c>
      <c r="K48" s="543" t="s">
        <v>583</v>
      </c>
    </row>
    <row r="49" spans="1:11" ht="15.75" customHeight="1">
      <c r="A49" s="712" t="s">
        <v>584</v>
      </c>
      <c r="B49" s="1826" t="s">
        <v>464</v>
      </c>
      <c r="C49" s="1827" t="s">
        <v>464</v>
      </c>
      <c r="D49" s="1828" t="s">
        <v>464</v>
      </c>
      <c r="E49" s="905" t="s">
        <v>464</v>
      </c>
      <c r="F49" s="906" t="s">
        <v>464</v>
      </c>
      <c r="G49" s="907" t="s">
        <v>464</v>
      </c>
      <c r="H49" s="917" t="s">
        <v>464</v>
      </c>
      <c r="I49" s="918" t="s">
        <v>464</v>
      </c>
      <c r="J49" s="919" t="s">
        <v>464</v>
      </c>
      <c r="K49" s="543" t="s">
        <v>584</v>
      </c>
    </row>
    <row r="50" spans="1:11" ht="15.75" customHeight="1">
      <c r="A50" s="712" t="s">
        <v>585</v>
      </c>
      <c r="B50" s="1826" t="s">
        <v>464</v>
      </c>
      <c r="C50" s="1827" t="s">
        <v>464</v>
      </c>
      <c r="D50" s="1828" t="s">
        <v>464</v>
      </c>
      <c r="E50" s="905" t="s">
        <v>464</v>
      </c>
      <c r="F50" s="906" t="s">
        <v>464</v>
      </c>
      <c r="G50" s="907" t="s">
        <v>464</v>
      </c>
      <c r="H50" s="917" t="s">
        <v>464</v>
      </c>
      <c r="I50" s="918" t="s">
        <v>464</v>
      </c>
      <c r="J50" s="919" t="s">
        <v>464</v>
      </c>
      <c r="K50" s="543" t="s">
        <v>585</v>
      </c>
    </row>
    <row r="51" spans="1:11" ht="15.75" customHeight="1">
      <c r="A51" s="712"/>
      <c r="B51" s="1829"/>
      <c r="C51" s="131"/>
      <c r="D51" s="1830"/>
      <c r="E51" s="67"/>
      <c r="F51" s="79"/>
      <c r="G51" s="39"/>
      <c r="H51" s="908"/>
      <c r="I51" s="131"/>
      <c r="J51" s="920"/>
      <c r="K51" s="543"/>
    </row>
    <row r="52" spans="1:11" ht="15.75" customHeight="1">
      <c r="A52" s="713" t="s">
        <v>588</v>
      </c>
      <c r="B52" s="1826" t="s">
        <v>464</v>
      </c>
      <c r="C52" s="1827" t="s">
        <v>464</v>
      </c>
      <c r="D52" s="1828" t="s">
        <v>464</v>
      </c>
      <c r="E52" s="845">
        <f>SUM(E53:E57)</f>
        <v>21</v>
      </c>
      <c r="F52" s="91">
        <f>(G52*1000)/E52</f>
        <v>3142.8571428571427</v>
      </c>
      <c r="G52" s="2205">
        <f>SUM(G53:G57)</f>
        <v>66</v>
      </c>
      <c r="H52" s="909">
        <f>SUM(H53:H57)</f>
        <v>26</v>
      </c>
      <c r="I52" s="921">
        <f>(J52*1000)/H52</f>
        <v>2961.5384615384614</v>
      </c>
      <c r="J52" s="922">
        <f>SUM(J53:J57)</f>
        <v>77</v>
      </c>
      <c r="K52" s="544" t="s">
        <v>589</v>
      </c>
    </row>
    <row r="53" spans="1:11" ht="15.75" customHeight="1">
      <c r="A53" s="712" t="s">
        <v>590</v>
      </c>
      <c r="B53" s="1826" t="s">
        <v>464</v>
      </c>
      <c r="C53" s="1827" t="s">
        <v>464</v>
      </c>
      <c r="D53" s="1828" t="s">
        <v>464</v>
      </c>
      <c r="E53" s="707">
        <v>15</v>
      </c>
      <c r="F53" s="79">
        <f>(G53*1000)/E53</f>
        <v>3533.3333333333335</v>
      </c>
      <c r="G53" s="2034">
        <v>53</v>
      </c>
      <c r="H53" s="917" t="s">
        <v>464</v>
      </c>
      <c r="I53" s="918" t="s">
        <v>464</v>
      </c>
      <c r="J53" s="919" t="s">
        <v>464</v>
      </c>
      <c r="K53" s="543" t="s">
        <v>591</v>
      </c>
    </row>
    <row r="54" spans="1:14" s="32" customFormat="1" ht="15.75" customHeight="1">
      <c r="A54" s="712" t="s">
        <v>592</v>
      </c>
      <c r="B54" s="1826" t="s">
        <v>464</v>
      </c>
      <c r="C54" s="1827" t="s">
        <v>464</v>
      </c>
      <c r="D54" s="1828" t="s">
        <v>464</v>
      </c>
      <c r="E54" s="707" t="s">
        <v>464</v>
      </c>
      <c r="F54" s="2206" t="s">
        <v>464</v>
      </c>
      <c r="G54" s="2034" t="s">
        <v>464</v>
      </c>
      <c r="H54" s="917" t="s">
        <v>464</v>
      </c>
      <c r="I54" s="918" t="s">
        <v>464</v>
      </c>
      <c r="J54" s="919" t="s">
        <v>464</v>
      </c>
      <c r="K54" s="543" t="s">
        <v>593</v>
      </c>
      <c r="L54" s="44"/>
      <c r="M54" s="2314"/>
      <c r="N54" s="44"/>
    </row>
    <row r="55" spans="1:11" ht="15.75" customHeight="1">
      <c r="A55" s="712" t="s">
        <v>594</v>
      </c>
      <c r="B55" s="1826" t="s">
        <v>464</v>
      </c>
      <c r="C55" s="1827" t="s">
        <v>464</v>
      </c>
      <c r="D55" s="1828" t="s">
        <v>464</v>
      </c>
      <c r="E55" s="707">
        <v>6</v>
      </c>
      <c r="F55" s="79">
        <f>(G55*1000)/E55</f>
        <v>2166.6666666666665</v>
      </c>
      <c r="G55" s="2034">
        <v>13</v>
      </c>
      <c r="H55" s="908">
        <v>26</v>
      </c>
      <c r="I55" s="131">
        <f>(J55*1000)/H55</f>
        <v>2961.5384615384614</v>
      </c>
      <c r="J55" s="920">
        <v>77</v>
      </c>
      <c r="K55" s="543" t="s">
        <v>594</v>
      </c>
    </row>
    <row r="56" spans="1:11" ht="15.75" customHeight="1">
      <c r="A56" s="712" t="s">
        <v>599</v>
      </c>
      <c r="B56" s="1826" t="s">
        <v>464</v>
      </c>
      <c r="C56" s="1827" t="s">
        <v>464</v>
      </c>
      <c r="D56" s="1828" t="s">
        <v>464</v>
      </c>
      <c r="E56" s="2204" t="s">
        <v>464</v>
      </c>
      <c r="F56" s="2206" t="s">
        <v>464</v>
      </c>
      <c r="G56" s="2034" t="s">
        <v>464</v>
      </c>
      <c r="H56" s="917" t="s">
        <v>464</v>
      </c>
      <c r="I56" s="918" t="s">
        <v>464</v>
      </c>
      <c r="J56" s="919" t="s">
        <v>464</v>
      </c>
      <c r="K56" s="543" t="s">
        <v>599</v>
      </c>
    </row>
    <row r="57" spans="1:11" ht="15.75" customHeight="1">
      <c r="A57" s="712" t="s">
        <v>598</v>
      </c>
      <c r="B57" s="1826" t="s">
        <v>464</v>
      </c>
      <c r="C57" s="1827" t="s">
        <v>464</v>
      </c>
      <c r="D57" s="1828" t="s">
        <v>464</v>
      </c>
      <c r="E57" s="905" t="s">
        <v>464</v>
      </c>
      <c r="F57" s="906" t="s">
        <v>464</v>
      </c>
      <c r="G57" s="907" t="s">
        <v>464</v>
      </c>
      <c r="H57" s="917" t="s">
        <v>464</v>
      </c>
      <c r="I57" s="918" t="s">
        <v>464</v>
      </c>
      <c r="J57" s="919" t="s">
        <v>464</v>
      </c>
      <c r="K57" s="543" t="s">
        <v>598</v>
      </c>
    </row>
    <row r="58" spans="1:11" ht="15.75" customHeight="1">
      <c r="A58" s="70"/>
      <c r="B58" s="1831"/>
      <c r="C58" s="1832"/>
      <c r="D58" s="1833"/>
      <c r="E58" s="802"/>
      <c r="F58" s="129"/>
      <c r="G58" s="803"/>
      <c r="H58" s="910"/>
      <c r="I58" s="923"/>
      <c r="J58" s="924"/>
      <c r="K58" s="543"/>
    </row>
    <row r="59" spans="1:11" ht="15.75" customHeight="1">
      <c r="A59" s="713" t="s">
        <v>601</v>
      </c>
      <c r="B59" s="1826" t="s">
        <v>464</v>
      </c>
      <c r="C59" s="1827" t="s">
        <v>464</v>
      </c>
      <c r="D59" s="1828" t="s">
        <v>464</v>
      </c>
      <c r="E59" s="65">
        <f>SUM(E60:E63)</f>
        <v>4</v>
      </c>
      <c r="F59" s="43">
        <f>(G59*1000)/E59</f>
        <v>1250</v>
      </c>
      <c r="G59" s="37">
        <f>SUM(G60:G63)</f>
        <v>5</v>
      </c>
      <c r="H59" s="2231">
        <f>SUM(H60:H63)</f>
        <v>1</v>
      </c>
      <c r="I59" s="939">
        <f>(J59*1000)/H59</f>
        <v>2300</v>
      </c>
      <c r="J59" s="2717">
        <f>SUM(J60:J63)</f>
        <v>2.3</v>
      </c>
      <c r="K59" s="544" t="s">
        <v>602</v>
      </c>
    </row>
    <row r="60" spans="1:11" ht="15.75" customHeight="1">
      <c r="A60" s="712" t="s">
        <v>603</v>
      </c>
      <c r="B60" s="1826" t="s">
        <v>464</v>
      </c>
      <c r="C60" s="1827" t="s">
        <v>464</v>
      </c>
      <c r="D60" s="1828" t="s">
        <v>464</v>
      </c>
      <c r="E60" s="40">
        <v>4</v>
      </c>
      <c r="F60" s="79">
        <f>(G60*1000)/E60</f>
        <v>1250</v>
      </c>
      <c r="G60" s="39">
        <v>5</v>
      </c>
      <c r="H60" s="864">
        <v>1</v>
      </c>
      <c r="I60" s="172">
        <f>(J60*1000)/H60</f>
        <v>2300</v>
      </c>
      <c r="J60" s="2718">
        <v>2.3</v>
      </c>
      <c r="K60" s="543" t="s">
        <v>604</v>
      </c>
    </row>
    <row r="61" spans="1:11" ht="15.75" customHeight="1">
      <c r="A61" s="712" t="s">
        <v>605</v>
      </c>
      <c r="B61" s="1826" t="s">
        <v>464</v>
      </c>
      <c r="C61" s="1827" t="s">
        <v>464</v>
      </c>
      <c r="D61" s="1828" t="s">
        <v>464</v>
      </c>
      <c r="E61" s="905" t="s">
        <v>464</v>
      </c>
      <c r="F61" s="906" t="s">
        <v>464</v>
      </c>
      <c r="G61" s="907" t="s">
        <v>464</v>
      </c>
      <c r="H61" s="917" t="s">
        <v>464</v>
      </c>
      <c r="I61" s="918" t="s">
        <v>464</v>
      </c>
      <c r="J61" s="919" t="s">
        <v>464</v>
      </c>
      <c r="K61" s="543" t="s">
        <v>606</v>
      </c>
    </row>
    <row r="62" spans="1:11" ht="15.75" customHeight="1">
      <c r="A62" s="712" t="s">
        <v>607</v>
      </c>
      <c r="B62" s="1826" t="s">
        <v>464</v>
      </c>
      <c r="C62" s="1827" t="s">
        <v>464</v>
      </c>
      <c r="D62" s="1828" t="s">
        <v>464</v>
      </c>
      <c r="E62" s="905" t="s">
        <v>464</v>
      </c>
      <c r="F62" s="906" t="s">
        <v>464</v>
      </c>
      <c r="G62" s="907" t="s">
        <v>464</v>
      </c>
      <c r="H62" s="917" t="s">
        <v>464</v>
      </c>
      <c r="I62" s="918" t="s">
        <v>464</v>
      </c>
      <c r="J62" s="919" t="s">
        <v>464</v>
      </c>
      <c r="K62" s="543" t="s">
        <v>607</v>
      </c>
    </row>
    <row r="63" spans="1:11" ht="15.75" customHeight="1">
      <c r="A63" s="712" t="s">
        <v>608</v>
      </c>
      <c r="B63" s="1826" t="s">
        <v>464</v>
      </c>
      <c r="C63" s="1827" t="s">
        <v>464</v>
      </c>
      <c r="D63" s="1828" t="s">
        <v>464</v>
      </c>
      <c r="E63" s="905" t="s">
        <v>464</v>
      </c>
      <c r="F63" s="906" t="s">
        <v>464</v>
      </c>
      <c r="G63" s="907" t="s">
        <v>464</v>
      </c>
      <c r="H63" s="917" t="s">
        <v>464</v>
      </c>
      <c r="I63" s="918" t="s">
        <v>464</v>
      </c>
      <c r="J63" s="919" t="s">
        <v>464</v>
      </c>
      <c r="K63" s="543" t="s">
        <v>608</v>
      </c>
    </row>
    <row r="64" spans="1:14" s="32" customFormat="1" ht="15.75" customHeight="1">
      <c r="A64" s="71"/>
      <c r="B64" s="912"/>
      <c r="C64" s="1834"/>
      <c r="D64" s="927"/>
      <c r="E64" s="804"/>
      <c r="F64" s="102"/>
      <c r="G64" s="805"/>
      <c r="H64" s="911"/>
      <c r="I64" s="537"/>
      <c r="J64" s="925"/>
      <c r="K64" s="545"/>
      <c r="L64" s="44"/>
      <c r="M64" s="2314"/>
      <c r="N64" s="44"/>
    </row>
    <row r="65" spans="1:11" ht="15.75" customHeight="1">
      <c r="A65" s="806" t="s">
        <v>1286</v>
      </c>
      <c r="B65" s="1826">
        <f>SUM(B66:B67)</f>
        <v>6</v>
      </c>
      <c r="C65" s="926">
        <f>(D65*1000)/B65</f>
        <v>1666.6666666666667</v>
      </c>
      <c r="D65" s="1828">
        <f>SUM(D66:D67)</f>
        <v>10</v>
      </c>
      <c r="E65" s="788">
        <f>SUM(E66:E67)</f>
        <v>11</v>
      </c>
      <c r="F65" s="91">
        <f>(G65*1000)/E65</f>
        <v>1272.7272727272727</v>
      </c>
      <c r="G65" s="789">
        <f>SUM(G66:G67)</f>
        <v>14</v>
      </c>
      <c r="H65" s="912">
        <f>SUM(H66:H67)</f>
        <v>28</v>
      </c>
      <c r="I65" s="926">
        <f>(J65*1000)/H65</f>
        <v>3392.8571428571427</v>
      </c>
      <c r="J65" s="927">
        <f>SUM(J66:J67)</f>
        <v>95</v>
      </c>
      <c r="K65" s="408" t="s">
        <v>1286</v>
      </c>
    </row>
    <row r="66" spans="1:11" ht="15.75" customHeight="1">
      <c r="A66" s="70" t="s">
        <v>586</v>
      </c>
      <c r="B66" s="1837">
        <v>2</v>
      </c>
      <c r="C66" s="131">
        <f>(D66*1000)/B66</f>
        <v>1600</v>
      </c>
      <c r="D66" s="2714">
        <v>3.2</v>
      </c>
      <c r="E66" s="1839">
        <v>5</v>
      </c>
      <c r="F66" s="79">
        <f>(G66*1000)/E66</f>
        <v>1200</v>
      </c>
      <c r="G66" s="1840">
        <v>6</v>
      </c>
      <c r="H66" s="910">
        <v>12</v>
      </c>
      <c r="I66" s="131">
        <f>(J66*1000)/H66</f>
        <v>2750</v>
      </c>
      <c r="J66" s="924">
        <v>33</v>
      </c>
      <c r="K66" s="543" t="s">
        <v>586</v>
      </c>
    </row>
    <row r="67" spans="1:11" ht="15.75" customHeight="1">
      <c r="A67" s="70" t="s">
        <v>587</v>
      </c>
      <c r="B67" s="1837">
        <v>4</v>
      </c>
      <c r="C67" s="131">
        <f>(D67*1000)/B67</f>
        <v>1700</v>
      </c>
      <c r="D67" s="2714">
        <v>6.8</v>
      </c>
      <c r="E67" s="1818">
        <v>6</v>
      </c>
      <c r="F67" s="79">
        <f>(G67*1000)/E67</f>
        <v>1333.3333333333333</v>
      </c>
      <c r="G67" s="1819">
        <v>8</v>
      </c>
      <c r="H67" s="910">
        <v>16</v>
      </c>
      <c r="I67" s="131">
        <f>(J67*1000)/H67</f>
        <v>3875</v>
      </c>
      <c r="J67" s="924">
        <v>62</v>
      </c>
      <c r="K67" s="543" t="s">
        <v>587</v>
      </c>
    </row>
    <row r="68" spans="1:11" ht="15.75" customHeight="1">
      <c r="A68" s="70"/>
      <c r="B68" s="1831"/>
      <c r="C68" s="1832"/>
      <c r="D68" s="1833"/>
      <c r="E68" s="802"/>
      <c r="F68" s="129"/>
      <c r="G68" s="803"/>
      <c r="H68" s="910"/>
      <c r="I68" s="923"/>
      <c r="J68" s="924"/>
      <c r="K68" s="543"/>
    </row>
    <row r="69" spans="1:11" ht="15.75" customHeight="1">
      <c r="A69" s="806" t="s">
        <v>1287</v>
      </c>
      <c r="B69" s="1826" t="s">
        <v>464</v>
      </c>
      <c r="C69" s="1827" t="s">
        <v>464</v>
      </c>
      <c r="D69" s="1828" t="s">
        <v>464</v>
      </c>
      <c r="E69" s="905" t="s">
        <v>464</v>
      </c>
      <c r="F69" s="906" t="s">
        <v>464</v>
      </c>
      <c r="G69" s="907" t="s">
        <v>464</v>
      </c>
      <c r="H69" s="912">
        <f>SUM(H70:H72)</f>
        <v>1</v>
      </c>
      <c r="I69" s="926">
        <f>(J69*1000)/H69</f>
        <v>3000</v>
      </c>
      <c r="J69" s="927">
        <f>SUM(J70:J72)</f>
        <v>3</v>
      </c>
      <c r="K69" s="408" t="s">
        <v>1287</v>
      </c>
    </row>
    <row r="70" spans="1:11" ht="15.75" customHeight="1">
      <c r="A70" s="70" t="s">
        <v>1273</v>
      </c>
      <c r="B70" s="1826" t="s">
        <v>464</v>
      </c>
      <c r="C70" s="1827" t="s">
        <v>464</v>
      </c>
      <c r="D70" s="1828" t="s">
        <v>464</v>
      </c>
      <c r="E70" s="905" t="s">
        <v>464</v>
      </c>
      <c r="F70" s="906" t="s">
        <v>464</v>
      </c>
      <c r="G70" s="907" t="s">
        <v>464</v>
      </c>
      <c r="H70" s="917" t="s">
        <v>464</v>
      </c>
      <c r="I70" s="918" t="s">
        <v>464</v>
      </c>
      <c r="J70" s="919" t="s">
        <v>464</v>
      </c>
      <c r="K70" s="543" t="s">
        <v>1273</v>
      </c>
    </row>
    <row r="71" spans="1:11" ht="15.75" customHeight="1">
      <c r="A71" s="70" t="s">
        <v>596</v>
      </c>
      <c r="B71" s="1826" t="s">
        <v>464</v>
      </c>
      <c r="C71" s="1827" t="s">
        <v>464</v>
      </c>
      <c r="D71" s="1828" t="s">
        <v>464</v>
      </c>
      <c r="E71" s="905" t="s">
        <v>464</v>
      </c>
      <c r="F71" s="906" t="s">
        <v>464</v>
      </c>
      <c r="G71" s="907" t="s">
        <v>464</v>
      </c>
      <c r="H71" s="910">
        <v>1</v>
      </c>
      <c r="I71" s="131">
        <f>(J71*1000)/H71</f>
        <v>3000</v>
      </c>
      <c r="J71" s="924">
        <v>3</v>
      </c>
      <c r="K71" s="543" t="s">
        <v>596</v>
      </c>
    </row>
    <row r="72" spans="1:11" ht="15.75" customHeight="1" thickBot="1">
      <c r="A72" s="72" t="s">
        <v>595</v>
      </c>
      <c r="B72" s="1457" t="s">
        <v>464</v>
      </c>
      <c r="C72" s="1835" t="s">
        <v>464</v>
      </c>
      <c r="D72" s="1836" t="s">
        <v>464</v>
      </c>
      <c r="E72" s="928" t="s">
        <v>464</v>
      </c>
      <c r="F72" s="929" t="s">
        <v>464</v>
      </c>
      <c r="G72" s="930" t="s">
        <v>464</v>
      </c>
      <c r="H72" s="931" t="s">
        <v>464</v>
      </c>
      <c r="I72" s="932" t="s">
        <v>464</v>
      </c>
      <c r="J72" s="933" t="s">
        <v>464</v>
      </c>
      <c r="K72" s="546" t="s">
        <v>595</v>
      </c>
    </row>
  </sheetData>
  <sheetProtection/>
  <mergeCells count="6">
    <mergeCell ref="B3:D3"/>
    <mergeCell ref="E3:G3"/>
    <mergeCell ref="H3:J3"/>
    <mergeCell ref="B42:D42"/>
    <mergeCell ref="E42:G42"/>
    <mergeCell ref="H42:J42"/>
  </mergeCells>
  <printOptions/>
  <pageMargins left="0.62" right="0.984251968503937" top="0.984251968503937" bottom="0.984251968503937" header="0.5118110236220472" footer="0.5118110236220472"/>
  <pageSetup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64" zoomScaleNormal="64" zoomScalePageLayoutView="0" workbookViewId="0" topLeftCell="A38">
      <selection activeCell="M23" sqref="M23"/>
    </sheetView>
  </sheetViews>
  <sheetFormatPr defaultColWidth="9.140625" defaultRowHeight="12.75"/>
  <cols>
    <col min="1" max="1" width="19.57421875" style="787" customWidth="1"/>
    <col min="2" max="2" width="10.140625" style="787" customWidth="1"/>
    <col min="3" max="3" width="9.421875" style="787" customWidth="1"/>
    <col min="4" max="4" width="13.57421875" style="787" customWidth="1"/>
    <col min="5" max="5" width="13.28125" style="787" customWidth="1"/>
    <col min="6" max="6" width="12.421875" style="787" customWidth="1"/>
    <col min="7" max="7" width="14.7109375" style="787" customWidth="1"/>
    <col min="8" max="8" width="10.140625" style="787" customWidth="1"/>
    <col min="9" max="9" width="9.28125" style="787" customWidth="1"/>
    <col min="10" max="10" width="14.57421875" style="787" customWidth="1"/>
    <col min="11" max="11" width="17.8515625" style="786" customWidth="1"/>
    <col min="12" max="12" width="9.140625" style="787" customWidth="1"/>
    <col min="13" max="13" width="14.8515625" style="787" customWidth="1"/>
    <col min="14" max="14" width="9.140625" style="784" customWidth="1"/>
    <col min="15" max="16384" width="9.140625" style="787" customWidth="1"/>
  </cols>
  <sheetData>
    <row r="1" spans="1:11" ht="18.75">
      <c r="A1" s="2720" t="s">
        <v>625</v>
      </c>
      <c r="B1" s="582"/>
      <c r="C1" s="582"/>
      <c r="D1" s="582"/>
      <c r="E1" s="582"/>
      <c r="F1" s="582"/>
      <c r="G1" s="582"/>
      <c r="H1" s="582"/>
      <c r="I1" s="582"/>
      <c r="J1" s="582"/>
      <c r="K1" s="2721"/>
    </row>
    <row r="2" spans="1:11" ht="19.5" thickBot="1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2721"/>
    </row>
    <row r="3" spans="1:11" ht="19.5" customHeight="1" thickBot="1">
      <c r="A3" s="2722"/>
      <c r="B3" s="2868" t="s">
        <v>626</v>
      </c>
      <c r="C3" s="2869"/>
      <c r="D3" s="2870"/>
      <c r="E3" s="2868" t="s">
        <v>627</v>
      </c>
      <c r="F3" s="2869"/>
      <c r="G3" s="2870"/>
      <c r="H3" s="2868" t="s">
        <v>628</v>
      </c>
      <c r="I3" s="2869"/>
      <c r="J3" s="2869"/>
      <c r="K3" s="2723"/>
    </row>
    <row r="4" spans="1:11" ht="19.5">
      <c r="A4" s="2322" t="s">
        <v>566</v>
      </c>
      <c r="B4" s="2348" t="s">
        <v>567</v>
      </c>
      <c r="C4" s="2348" t="s">
        <v>568</v>
      </c>
      <c r="D4" s="2348" t="s">
        <v>569</v>
      </c>
      <c r="E4" s="2348" t="s">
        <v>567</v>
      </c>
      <c r="F4" s="2348" t="s">
        <v>568</v>
      </c>
      <c r="G4" s="2348" t="s">
        <v>569</v>
      </c>
      <c r="H4" s="2348" t="s">
        <v>567</v>
      </c>
      <c r="I4" s="2348" t="s">
        <v>568</v>
      </c>
      <c r="J4" s="2348" t="s">
        <v>569</v>
      </c>
      <c r="K4" s="2724" t="s">
        <v>570</v>
      </c>
    </row>
    <row r="5" spans="1:14" s="786" customFormat="1" ht="18.75">
      <c r="A5" s="2322" t="s">
        <v>571</v>
      </c>
      <c r="B5" s="2349" t="s">
        <v>572</v>
      </c>
      <c r="C5" s="2349" t="s">
        <v>573</v>
      </c>
      <c r="D5" s="2349" t="s">
        <v>574</v>
      </c>
      <c r="E5" s="2349" t="s">
        <v>572</v>
      </c>
      <c r="F5" s="2349" t="s">
        <v>573</v>
      </c>
      <c r="G5" s="2349" t="s">
        <v>574</v>
      </c>
      <c r="H5" s="2349" t="s">
        <v>572</v>
      </c>
      <c r="I5" s="2349" t="s">
        <v>573</v>
      </c>
      <c r="J5" s="2349" t="s">
        <v>574</v>
      </c>
      <c r="K5" s="2349" t="s">
        <v>575</v>
      </c>
      <c r="N5" s="2725"/>
    </row>
    <row r="6" spans="1:11" ht="19.5" thickBot="1">
      <c r="A6" s="2726"/>
      <c r="B6" s="2324" t="s">
        <v>444</v>
      </c>
      <c r="C6" s="2324" t="s">
        <v>576</v>
      </c>
      <c r="D6" s="2324" t="s">
        <v>577</v>
      </c>
      <c r="E6" s="2324" t="s">
        <v>444</v>
      </c>
      <c r="F6" s="2324" t="s">
        <v>576</v>
      </c>
      <c r="G6" s="2324" t="s">
        <v>577</v>
      </c>
      <c r="H6" s="2324" t="s">
        <v>444</v>
      </c>
      <c r="I6" s="2324" t="s">
        <v>576</v>
      </c>
      <c r="J6" s="2324" t="s">
        <v>577</v>
      </c>
      <c r="K6" s="2727"/>
    </row>
    <row r="7" spans="1:14" s="783" customFormat="1" ht="20.25" thickBot="1">
      <c r="A7" s="2719" t="s">
        <v>578</v>
      </c>
      <c r="B7" s="2328">
        <f>SUM(B8+B13+B20+B26+B30)</f>
        <v>53470</v>
      </c>
      <c r="C7" s="2728" t="s">
        <v>464</v>
      </c>
      <c r="D7" s="2728" t="s">
        <v>464</v>
      </c>
      <c r="E7" s="2328">
        <f>SUM(E8+E13+E20+E26+E30)</f>
        <v>587287</v>
      </c>
      <c r="F7" s="2338">
        <f>(G7*1000)/E7</f>
        <v>98.57531326251049</v>
      </c>
      <c r="G7" s="2350">
        <f>SUM(G8+G13+G20+G26+G30)</f>
        <v>57892</v>
      </c>
      <c r="H7" s="2329">
        <f>SUM(H8+H13+H20+H26+H30)</f>
        <v>98335</v>
      </c>
      <c r="I7" s="2338">
        <f>(J7*1000)/H7</f>
        <v>364.89551024558904</v>
      </c>
      <c r="J7" s="2350">
        <f>SUM(J8+J13+J20+J26+J30)</f>
        <v>35882</v>
      </c>
      <c r="K7" s="2729" t="s">
        <v>579</v>
      </c>
      <c r="N7" s="2730"/>
    </row>
    <row r="8" spans="1:14" s="783" customFormat="1" ht="19.5">
      <c r="A8" s="2731" t="s">
        <v>580</v>
      </c>
      <c r="B8" s="934">
        <f>SUM(B9:B11)</f>
        <v>19980</v>
      </c>
      <c r="C8" s="1964" t="s">
        <v>464</v>
      </c>
      <c r="D8" s="1965" t="s">
        <v>464</v>
      </c>
      <c r="E8">
        <v>119459</v>
      </c>
      <c r="F8">
        <f>(G8*1000)/E8</f>
        <v>85.89557923639073</v>
      </c>
      <c r="G8" s="2331">
        <f>SUM(G9:G11)</f>
        <v>10261</v>
      </c>
      <c r="H8" s="934">
        <f>SUM(H9:H11)</f>
        <v>13930</v>
      </c>
      <c r="I8" s="2339">
        <f>(J8*1000)/H8</f>
        <v>293.610911701364</v>
      </c>
      <c r="J8" s="2340">
        <f>SUM(J9:J11)</f>
        <v>4090</v>
      </c>
      <c r="K8" s="2732" t="s">
        <v>581</v>
      </c>
      <c r="N8" s="2730"/>
    </row>
    <row r="9" spans="1:11" ht="18.75">
      <c r="A9" s="2733" t="s">
        <v>582</v>
      </c>
      <c r="B9" s="864">
        <v>8400</v>
      </c>
      <c r="C9" s="2332" t="s">
        <v>464</v>
      </c>
      <c r="D9" s="1963" t="s">
        <v>464</v>
      </c>
      <c r="E9" s="2734">
        <v>35501</v>
      </c>
      <c r="F9" s="172">
        <f>(G9*1000)/E9</f>
        <v>91.5467169938875</v>
      </c>
      <c r="G9" s="2226">
        <v>3250</v>
      </c>
      <c r="H9" s="864">
        <v>3850</v>
      </c>
      <c r="I9" s="172">
        <f>(J9*1000)/H9</f>
        <v>342.85714285714283</v>
      </c>
      <c r="J9" s="865">
        <v>1320</v>
      </c>
      <c r="K9" s="2735" t="s">
        <v>583</v>
      </c>
    </row>
    <row r="10" spans="1:11" ht="18.75">
      <c r="A10" s="2733" t="s">
        <v>584</v>
      </c>
      <c r="B10" s="864">
        <v>11580</v>
      </c>
      <c r="C10" s="2332" t="s">
        <v>464</v>
      </c>
      <c r="D10" s="1963" t="s">
        <v>464</v>
      </c>
      <c r="E10" s="2734">
        <v>20865</v>
      </c>
      <c r="F10" s="172">
        <f>(G10*1000)/E10</f>
        <v>83.92044092978672</v>
      </c>
      <c r="G10" s="2226">
        <v>1751</v>
      </c>
      <c r="H10" s="864">
        <v>1320</v>
      </c>
      <c r="I10" s="172">
        <f>(J10*1000)/H10</f>
        <v>318.1818181818182</v>
      </c>
      <c r="J10" s="865">
        <v>420</v>
      </c>
      <c r="K10" s="2735" t="s">
        <v>584</v>
      </c>
    </row>
    <row r="11" spans="1:11" ht="18.75">
      <c r="A11" s="2733" t="s">
        <v>585</v>
      </c>
      <c r="B11" s="864" t="s">
        <v>464</v>
      </c>
      <c r="C11" s="2332" t="s">
        <v>464</v>
      </c>
      <c r="D11" s="1963" t="s">
        <v>464</v>
      </c>
      <c r="E11" s="2734">
        <v>63093</v>
      </c>
      <c r="F11" s="172">
        <f>(G11*1000)/E11</f>
        <v>83.36899497567083</v>
      </c>
      <c r="G11" s="2226">
        <v>5260</v>
      </c>
      <c r="H11" s="864">
        <v>8760</v>
      </c>
      <c r="I11" s="172">
        <f>(J11*1000)/H11</f>
        <v>268.2648401826484</v>
      </c>
      <c r="J11" s="865">
        <v>2350</v>
      </c>
      <c r="K11" s="2735" t="s">
        <v>585</v>
      </c>
    </row>
    <row r="12" spans="1:14" ht="18.75">
      <c r="A12" s="2733"/>
      <c r="B12" s="936"/>
      <c r="C12" s="2332"/>
      <c r="D12" s="1963"/>
      <c r="E12" s="2734"/>
      <c r="F12" s="2225"/>
      <c r="G12" s="2226"/>
      <c r="H12" s="936"/>
      <c r="I12" s="172"/>
      <c r="J12" s="935"/>
      <c r="K12" s="2735"/>
      <c r="N12" s="787"/>
    </row>
    <row r="13" spans="1:14" ht="19.5">
      <c r="A13" s="2736" t="s">
        <v>588</v>
      </c>
      <c r="B13" s="938">
        <f>SUM(B14:B18)</f>
        <v>16740</v>
      </c>
      <c r="C13" s="2332" t="s">
        <v>464</v>
      </c>
      <c r="D13" s="1963" t="s">
        <v>464</v>
      </c>
      <c r="E13" s="2737">
        <v>255178</v>
      </c>
      <c r="F13" s="944">
        <v>91.70069520099695</v>
      </c>
      <c r="G13" s="2228">
        <f>SUM(G14:G18)</f>
        <v>23990</v>
      </c>
      <c r="H13" s="938">
        <f>SUM(H14:H18)</f>
        <v>33285</v>
      </c>
      <c r="I13" s="939">
        <f aca="true" t="shared" si="0" ref="I13:I18">(J13*1000)/H13</f>
        <v>385.1584797957038</v>
      </c>
      <c r="J13" s="937">
        <f>SUM(J14:J18)</f>
        <v>12820</v>
      </c>
      <c r="K13" s="2738" t="s">
        <v>589</v>
      </c>
      <c r="N13" s="787"/>
    </row>
    <row r="14" spans="1:14" ht="18.75">
      <c r="A14" s="2733" t="s">
        <v>590</v>
      </c>
      <c r="B14" s="864" t="s">
        <v>464</v>
      </c>
      <c r="C14" s="2332" t="s">
        <v>464</v>
      </c>
      <c r="D14" s="1963" t="s">
        <v>464</v>
      </c>
      <c r="E14" s="2739">
        <v>28842</v>
      </c>
      <c r="F14" s="172">
        <f>(G14*1000)/E14</f>
        <v>88.06601483947021</v>
      </c>
      <c r="G14" s="865">
        <v>2540</v>
      </c>
      <c r="H14" s="936">
        <v>2740</v>
      </c>
      <c r="I14" s="172">
        <f t="shared" si="0"/>
        <v>332.11678832116786</v>
      </c>
      <c r="J14" s="865">
        <v>910</v>
      </c>
      <c r="K14" s="2735" t="s">
        <v>591</v>
      </c>
      <c r="N14" s="787"/>
    </row>
    <row r="15" spans="1:11" s="783" customFormat="1" ht="18.75">
      <c r="A15" s="2733" t="s">
        <v>592</v>
      </c>
      <c r="B15" s="936">
        <v>1490</v>
      </c>
      <c r="C15" s="2332" t="s">
        <v>464</v>
      </c>
      <c r="D15" s="1963" t="s">
        <v>464</v>
      </c>
      <c r="E15" s="2739">
        <v>46691</v>
      </c>
      <c r="F15" s="172">
        <f>(G15*1000)/E15</f>
        <v>98.09170932299587</v>
      </c>
      <c r="G15" s="865">
        <v>4580</v>
      </c>
      <c r="H15" s="936">
        <v>1175</v>
      </c>
      <c r="I15" s="172">
        <f t="shared" si="0"/>
        <v>306.3829787234043</v>
      </c>
      <c r="J15" s="865">
        <v>360</v>
      </c>
      <c r="K15" s="2735" t="s">
        <v>593</v>
      </c>
    </row>
    <row r="16" spans="1:14" ht="18.75">
      <c r="A16" s="2733" t="s">
        <v>594</v>
      </c>
      <c r="B16" s="936">
        <v>10900</v>
      </c>
      <c r="C16" s="2332" t="s">
        <v>464</v>
      </c>
      <c r="D16" s="1963" t="s">
        <v>464</v>
      </c>
      <c r="E16" s="2739">
        <v>68484</v>
      </c>
      <c r="F16" s="172">
        <f>(G16*1000)/E16</f>
        <v>101.48355820337598</v>
      </c>
      <c r="G16" s="2226">
        <v>6950</v>
      </c>
      <c r="H16" s="936">
        <v>18500</v>
      </c>
      <c r="I16" s="172">
        <f t="shared" si="0"/>
        <v>412.97297297297297</v>
      </c>
      <c r="J16" s="935">
        <v>7640</v>
      </c>
      <c r="K16" s="2735" t="s">
        <v>594</v>
      </c>
      <c r="N16" s="787"/>
    </row>
    <row r="17" spans="1:14" ht="18.75">
      <c r="A17" s="2733" t="s">
        <v>599</v>
      </c>
      <c r="B17" s="864">
        <v>2030</v>
      </c>
      <c r="C17" s="2332" t="s">
        <v>464</v>
      </c>
      <c r="D17" s="1963" t="s">
        <v>464</v>
      </c>
      <c r="E17" s="2739">
        <v>62936</v>
      </c>
      <c r="F17" s="172">
        <f>(G17*1000)/E17</f>
        <v>94.69937714503622</v>
      </c>
      <c r="G17" s="2226">
        <v>5960</v>
      </c>
      <c r="H17" s="936">
        <v>6380</v>
      </c>
      <c r="I17" s="172">
        <f t="shared" si="0"/>
        <v>354.23197492163007</v>
      </c>
      <c r="J17" s="935">
        <v>2260</v>
      </c>
      <c r="K17" s="2735" t="s">
        <v>599</v>
      </c>
      <c r="N17" s="787"/>
    </row>
    <row r="18" spans="1:13" ht="18.75">
      <c r="A18" s="2733" t="s">
        <v>598</v>
      </c>
      <c r="B18" s="864">
        <v>2320</v>
      </c>
      <c r="C18" s="2332" t="s">
        <v>464</v>
      </c>
      <c r="D18" s="1963" t="s">
        <v>464</v>
      </c>
      <c r="E18" s="2739">
        <v>48225</v>
      </c>
      <c r="F18" s="172">
        <f>(G18*1000)/E18</f>
        <v>82.11508553654744</v>
      </c>
      <c r="G18" s="2226">
        <v>3960</v>
      </c>
      <c r="H18" s="936">
        <v>4490</v>
      </c>
      <c r="I18" s="172">
        <f t="shared" si="0"/>
        <v>367.48329621380844</v>
      </c>
      <c r="J18" s="935">
        <v>1650</v>
      </c>
      <c r="K18" s="2735" t="s">
        <v>598</v>
      </c>
      <c r="M18" s="784"/>
    </row>
    <row r="19" spans="1:13" ht="18.75">
      <c r="A19" s="2740"/>
      <c r="B19" s="936"/>
      <c r="C19" s="2332" t="s">
        <v>464</v>
      </c>
      <c r="D19" s="1963" t="s">
        <v>464</v>
      </c>
      <c r="E19" s="2741"/>
      <c r="F19" s="941"/>
      <c r="G19" s="940"/>
      <c r="H19" s="936"/>
      <c r="I19" s="941"/>
      <c r="J19" s="940"/>
      <c r="K19" s="2735"/>
      <c r="M19" s="784"/>
    </row>
    <row r="20" spans="1:13" ht="19.5">
      <c r="A20" s="2736" t="s">
        <v>601</v>
      </c>
      <c r="B20" s="938">
        <f>SUM(B21:B24)</f>
        <v>6300</v>
      </c>
      <c r="C20" s="2332" t="s">
        <v>464</v>
      </c>
      <c r="D20" s="1963" t="s">
        <v>464</v>
      </c>
      <c r="E20" s="2737">
        <v>51574</v>
      </c>
      <c r="F20" s="2227">
        <v>74.22344592236398</v>
      </c>
      <c r="G20" s="2228">
        <f>SUM(G21:G24)</f>
        <v>6443</v>
      </c>
      <c r="H20" s="938">
        <f>SUM(H21:H24)</f>
        <v>26725</v>
      </c>
      <c r="I20" s="939">
        <f>(J20*1000)/H20</f>
        <v>409.13002806361084</v>
      </c>
      <c r="J20" s="937">
        <f>SUM(J21:J24)</f>
        <v>10934</v>
      </c>
      <c r="K20" s="2738" t="s">
        <v>602</v>
      </c>
      <c r="M20" s="784"/>
    </row>
    <row r="21" spans="1:13" ht="18.75">
      <c r="A21" s="2733" t="s">
        <v>603</v>
      </c>
      <c r="B21" s="942">
        <v>740</v>
      </c>
      <c r="C21" s="2332" t="s">
        <v>464</v>
      </c>
      <c r="D21" s="1963" t="s">
        <v>464</v>
      </c>
      <c r="E21" s="2739">
        <v>331</v>
      </c>
      <c r="F21" s="172">
        <f>(G21*1000)/E21</f>
        <v>151.05740181268882</v>
      </c>
      <c r="G21" s="865">
        <v>50</v>
      </c>
      <c r="H21" s="942">
        <v>3700</v>
      </c>
      <c r="I21" s="172">
        <f>(J21*1000)/H21</f>
        <v>300</v>
      </c>
      <c r="J21" s="865">
        <v>1110</v>
      </c>
      <c r="K21" s="2735" t="s">
        <v>604</v>
      </c>
      <c r="M21" s="784"/>
    </row>
    <row r="22" spans="1:13" ht="18.75">
      <c r="A22" s="2733" t="s">
        <v>605</v>
      </c>
      <c r="B22" s="864">
        <v>50</v>
      </c>
      <c r="C22" s="2332" t="s">
        <v>464</v>
      </c>
      <c r="D22" s="1963" t="s">
        <v>464</v>
      </c>
      <c r="E22" s="2739">
        <v>237</v>
      </c>
      <c r="F22" s="172">
        <f>(G22*1000)/E22</f>
        <v>92.82700421940929</v>
      </c>
      <c r="G22" s="865">
        <v>22</v>
      </c>
      <c r="H22" s="864">
        <v>200</v>
      </c>
      <c r="I22" s="172">
        <f>(J22*1000)/H22</f>
        <v>280</v>
      </c>
      <c r="J22" s="865">
        <v>56</v>
      </c>
      <c r="K22" s="2735" t="s">
        <v>606</v>
      </c>
      <c r="M22" s="784"/>
    </row>
    <row r="23" spans="1:13" ht="18.75">
      <c r="A23" s="2733" t="s">
        <v>607</v>
      </c>
      <c r="B23" s="936">
        <v>3180</v>
      </c>
      <c r="C23" s="2332" t="s">
        <v>464</v>
      </c>
      <c r="D23" s="1963" t="s">
        <v>464</v>
      </c>
      <c r="E23" s="2739">
        <v>26832</v>
      </c>
      <c r="F23" s="172">
        <f>(G23*1000)/E23</f>
        <v>102.11687537268932</v>
      </c>
      <c r="G23" s="2226">
        <v>2740</v>
      </c>
      <c r="H23" s="936">
        <v>10525</v>
      </c>
      <c r="I23" s="172">
        <f>(J23*1000)/H23</f>
        <v>422.6128266033254</v>
      </c>
      <c r="J23" s="935">
        <v>4448</v>
      </c>
      <c r="K23" s="2735" t="s">
        <v>607</v>
      </c>
      <c r="M23" s="784"/>
    </row>
    <row r="24" spans="1:13" ht="18.75">
      <c r="A24" s="2733" t="s">
        <v>608</v>
      </c>
      <c r="B24" s="936">
        <v>2330</v>
      </c>
      <c r="C24" s="2332" t="s">
        <v>464</v>
      </c>
      <c r="D24" s="1963" t="s">
        <v>464</v>
      </c>
      <c r="E24" s="2739">
        <v>24174</v>
      </c>
      <c r="F24" s="172">
        <f>(G24*1000)/E24</f>
        <v>150.2026971126003</v>
      </c>
      <c r="G24" s="2226">
        <v>3631</v>
      </c>
      <c r="H24" s="936">
        <v>12300</v>
      </c>
      <c r="I24" s="172">
        <f>(J24*1000)/H24</f>
        <v>432.520325203252</v>
      </c>
      <c r="J24" s="935">
        <v>5320</v>
      </c>
      <c r="K24" s="2735" t="s">
        <v>608</v>
      </c>
      <c r="M24" s="784"/>
    </row>
    <row r="25" spans="1:14" s="783" customFormat="1" ht="18.75">
      <c r="A25" s="2742"/>
      <c r="B25" s="938"/>
      <c r="C25" s="2332"/>
      <c r="D25" s="1963"/>
      <c r="E25" s="2743"/>
      <c r="F25" s="172"/>
      <c r="G25" s="943"/>
      <c r="H25" s="938"/>
      <c r="I25" s="944"/>
      <c r="J25" s="943"/>
      <c r="K25" s="2744"/>
      <c r="M25" s="2730"/>
      <c r="N25" s="784"/>
    </row>
    <row r="26" spans="1:13" ht="19.5">
      <c r="A26" s="2742" t="s">
        <v>1286</v>
      </c>
      <c r="B26" s="938">
        <f>SUM(B27:B28)</f>
        <v>8370</v>
      </c>
      <c r="C26" s="2332" t="s">
        <v>464</v>
      </c>
      <c r="D26" s="1963" t="s">
        <v>464</v>
      </c>
      <c r="E26" s="2737">
        <v>28174</v>
      </c>
      <c r="F26" s="939">
        <f aca="true" t="shared" si="1" ref="F26:F33">(G26*1000)/E26</f>
        <v>125.22183573507489</v>
      </c>
      <c r="G26" s="2228">
        <f>SUM(G27:G28)</f>
        <v>3528</v>
      </c>
      <c r="H26" s="938">
        <f>SUM(H27:H28)</f>
        <v>4855</v>
      </c>
      <c r="I26" s="939">
        <f>(J26*1000)/H26</f>
        <v>330.5870236869207</v>
      </c>
      <c r="J26" s="943">
        <f>SUM(J27:J28)</f>
        <v>1605</v>
      </c>
      <c r="K26" s="2738" t="s">
        <v>1286</v>
      </c>
      <c r="M26" s="784"/>
    </row>
    <row r="27" spans="1:13" ht="18.75">
      <c r="A27" s="2740" t="s">
        <v>586</v>
      </c>
      <c r="B27" s="936">
        <v>6700</v>
      </c>
      <c r="C27" s="2332" t="s">
        <v>464</v>
      </c>
      <c r="D27" s="1963" t="s">
        <v>464</v>
      </c>
      <c r="E27" s="2741">
        <v>22267</v>
      </c>
      <c r="F27" s="172">
        <f t="shared" si="1"/>
        <v>129.96811424978668</v>
      </c>
      <c r="G27" s="940">
        <v>2894</v>
      </c>
      <c r="H27" s="936">
        <v>3850</v>
      </c>
      <c r="I27" s="172">
        <f>(J27*1000)/H27</f>
        <v>314.2857142857143</v>
      </c>
      <c r="J27" s="940">
        <v>1210</v>
      </c>
      <c r="K27" s="2735" t="s">
        <v>586</v>
      </c>
      <c r="M27" s="784"/>
    </row>
    <row r="28" spans="1:13" ht="18.75">
      <c r="A28" s="2740" t="s">
        <v>587</v>
      </c>
      <c r="B28" s="936">
        <v>1670</v>
      </c>
      <c r="C28" s="2332" t="s">
        <v>464</v>
      </c>
      <c r="D28" s="1963" t="s">
        <v>464</v>
      </c>
      <c r="E28" s="2741">
        <v>5907</v>
      </c>
      <c r="F28" s="172">
        <f t="shared" si="1"/>
        <v>107.33028610123583</v>
      </c>
      <c r="G28" s="940">
        <v>634</v>
      </c>
      <c r="H28" s="864">
        <v>1005</v>
      </c>
      <c r="I28" s="172">
        <f>(J28*1000)/H28</f>
        <v>393.0348258706468</v>
      </c>
      <c r="J28" s="865">
        <v>395</v>
      </c>
      <c r="K28" s="2735" t="s">
        <v>587</v>
      </c>
      <c r="M28" s="784"/>
    </row>
    <row r="29" spans="1:13" ht="18.75">
      <c r="A29" s="2740"/>
      <c r="B29" s="936"/>
      <c r="C29" s="2332"/>
      <c r="D29" s="1963"/>
      <c r="E29" s="2741"/>
      <c r="F29" s="172"/>
      <c r="G29" s="940"/>
      <c r="H29" s="936"/>
      <c r="I29" s="941"/>
      <c r="J29" s="940"/>
      <c r="K29" s="2735"/>
      <c r="M29" s="784"/>
    </row>
    <row r="30" spans="1:13" ht="19.5">
      <c r="A30" s="2742" t="s">
        <v>1287</v>
      </c>
      <c r="B30" s="938">
        <f>SUM(B31:B33)</f>
        <v>2080</v>
      </c>
      <c r="C30" s="2332" t="s">
        <v>464</v>
      </c>
      <c r="D30" s="1963" t="s">
        <v>464</v>
      </c>
      <c r="E30" s="2737">
        <v>132902</v>
      </c>
      <c r="F30" s="939">
        <f t="shared" si="1"/>
        <v>102.85774480444238</v>
      </c>
      <c r="G30" s="2228">
        <f>SUM(G31:G33)</f>
        <v>13670</v>
      </c>
      <c r="H30" s="938">
        <f>SUM(H31:H33)</f>
        <v>19540</v>
      </c>
      <c r="I30" s="939">
        <f>(J30*1000)/H30</f>
        <v>329.2221084953941</v>
      </c>
      <c r="J30" s="943">
        <f>SUM(J31:J33)</f>
        <v>6433</v>
      </c>
      <c r="K30" s="2738" t="s">
        <v>1287</v>
      </c>
      <c r="M30" s="784"/>
    </row>
    <row r="31" spans="1:13" ht="18.75">
      <c r="A31" s="2740" t="s">
        <v>1273</v>
      </c>
      <c r="B31" s="936">
        <v>2080</v>
      </c>
      <c r="C31" s="2332" t="s">
        <v>464</v>
      </c>
      <c r="D31" s="1963" t="s">
        <v>464</v>
      </c>
      <c r="E31" s="2741">
        <v>40104</v>
      </c>
      <c r="F31" s="172">
        <f t="shared" si="1"/>
        <v>83.53281468182725</v>
      </c>
      <c r="G31" s="940">
        <v>3350</v>
      </c>
      <c r="H31" s="936">
        <v>6540</v>
      </c>
      <c r="I31" s="172">
        <f>(J31*1000)/H31</f>
        <v>235.47400611620796</v>
      </c>
      <c r="J31" s="940">
        <v>1540</v>
      </c>
      <c r="K31" s="2735" t="s">
        <v>1273</v>
      </c>
      <c r="M31" s="784"/>
    </row>
    <row r="32" spans="1:13" ht="18.75">
      <c r="A32" s="2740" t="s">
        <v>596</v>
      </c>
      <c r="B32" s="864" t="s">
        <v>464</v>
      </c>
      <c r="C32" s="2332" t="s">
        <v>464</v>
      </c>
      <c r="D32" s="1963" t="s">
        <v>464</v>
      </c>
      <c r="E32" s="2741">
        <v>46922</v>
      </c>
      <c r="F32" s="172">
        <f t="shared" si="1"/>
        <v>98.8875154511743</v>
      </c>
      <c r="G32" s="940">
        <v>4640</v>
      </c>
      <c r="H32" s="936">
        <v>5050</v>
      </c>
      <c r="I32" s="172">
        <f>(J32*1000)/H32</f>
        <v>325.74257425742576</v>
      </c>
      <c r="J32" s="940">
        <v>1645</v>
      </c>
      <c r="K32" s="2735" t="s">
        <v>596</v>
      </c>
      <c r="M32" s="784"/>
    </row>
    <row r="33" spans="1:13" ht="19.5" thickBot="1">
      <c r="A33" s="2745" t="s">
        <v>595</v>
      </c>
      <c r="B33" s="2746" t="s">
        <v>464</v>
      </c>
      <c r="C33" s="2747" t="s">
        <v>464</v>
      </c>
      <c r="D33" s="2748" t="s">
        <v>464</v>
      </c>
      <c r="E33">
        <v>45876</v>
      </c>
      <c r="F33" s="947">
        <f t="shared" si="1"/>
        <v>123.81201499694829</v>
      </c>
      <c r="G33" s="945">
        <v>5680</v>
      </c>
      <c r="H33" s="946">
        <v>7950</v>
      </c>
      <c r="I33" s="947">
        <f>(J33*1000)/H33</f>
        <v>408.55345911949684</v>
      </c>
      <c r="J33" s="945">
        <v>3248</v>
      </c>
      <c r="K33" s="2749" t="s">
        <v>595</v>
      </c>
      <c r="M33" s="784"/>
    </row>
    <row r="34" spans="1:13" ht="18.75" hidden="1">
      <c r="A34" s="1913"/>
      <c r="B34" s="172"/>
      <c r="C34" s="939"/>
      <c r="D34" s="939"/>
      <c r="E34" s="172"/>
      <c r="F34" s="172"/>
      <c r="G34" s="172"/>
      <c r="H34" s="172"/>
      <c r="I34" s="172"/>
      <c r="J34" s="172"/>
      <c r="K34" s="2750"/>
      <c r="M34" s="784"/>
    </row>
    <row r="35" spans="1:13" ht="18.75">
      <c r="A35" s="582"/>
      <c r="B35" s="582"/>
      <c r="C35" s="582"/>
      <c r="D35" s="582"/>
      <c r="E35" s="582"/>
      <c r="F35" s="582"/>
      <c r="G35" s="582"/>
      <c r="H35" s="582"/>
      <c r="I35" s="582"/>
      <c r="J35" s="582"/>
      <c r="K35" s="2721"/>
      <c r="M35" s="784"/>
    </row>
    <row r="36" spans="1:11" ht="19.5" thickBot="1">
      <c r="A36" s="582"/>
      <c r="B36" s="582"/>
      <c r="C36" s="582"/>
      <c r="D36" s="582"/>
      <c r="E36" s="582"/>
      <c r="F36" s="582"/>
      <c r="G36" s="582"/>
      <c r="H36" s="582"/>
      <c r="I36" s="582"/>
      <c r="J36" s="582"/>
      <c r="K36" s="2721"/>
    </row>
    <row r="37" spans="1:11" ht="19.5" customHeight="1" thickBot="1">
      <c r="A37" s="2722"/>
      <c r="B37" s="2868" t="s">
        <v>145</v>
      </c>
      <c r="C37" s="2869"/>
      <c r="D37" s="2870"/>
      <c r="E37" s="2868" t="s">
        <v>629</v>
      </c>
      <c r="F37" s="2869"/>
      <c r="G37" s="2870"/>
      <c r="H37" s="2751"/>
      <c r="I37" s="2752"/>
      <c r="J37" s="2752"/>
      <c r="K37" s="2723"/>
    </row>
    <row r="38" spans="1:11" ht="19.5">
      <c r="A38" s="2322" t="s">
        <v>566</v>
      </c>
      <c r="B38" s="2348" t="s">
        <v>567</v>
      </c>
      <c r="C38" s="2348" t="s">
        <v>568</v>
      </c>
      <c r="D38" s="2348" t="s">
        <v>569</v>
      </c>
      <c r="E38" s="2348" t="s">
        <v>567</v>
      </c>
      <c r="F38" s="2348" t="s">
        <v>568</v>
      </c>
      <c r="G38" s="2348" t="s">
        <v>569</v>
      </c>
      <c r="H38" s="2348" t="s">
        <v>567</v>
      </c>
      <c r="I38" s="2348" t="s">
        <v>568</v>
      </c>
      <c r="J38" s="2348" t="s">
        <v>569</v>
      </c>
      <c r="K38" s="2724" t="s">
        <v>570</v>
      </c>
    </row>
    <row r="39" spans="1:14" s="786" customFormat="1" ht="18.75">
      <c r="A39" s="2349" t="s">
        <v>571</v>
      </c>
      <c r="B39" s="2349" t="s">
        <v>572</v>
      </c>
      <c r="C39" s="2349" t="s">
        <v>573</v>
      </c>
      <c r="D39" s="2349" t="s">
        <v>574</v>
      </c>
      <c r="E39" s="2349" t="s">
        <v>572</v>
      </c>
      <c r="F39" s="2349" t="s">
        <v>573</v>
      </c>
      <c r="G39" s="2349" t="s">
        <v>574</v>
      </c>
      <c r="H39" s="2349" t="s">
        <v>572</v>
      </c>
      <c r="I39" s="2349" t="s">
        <v>573</v>
      </c>
      <c r="J39" s="2349" t="s">
        <v>574</v>
      </c>
      <c r="K39" s="2349" t="s">
        <v>575</v>
      </c>
      <c r="N39" s="2725"/>
    </row>
    <row r="40" spans="1:11" ht="19.5" thickBot="1">
      <c r="A40" s="2726"/>
      <c r="B40" s="2324" t="s">
        <v>444</v>
      </c>
      <c r="C40" s="2324" t="s">
        <v>576</v>
      </c>
      <c r="D40" s="2324" t="s">
        <v>577</v>
      </c>
      <c r="E40" s="2324" t="s">
        <v>444</v>
      </c>
      <c r="F40" s="2324" t="s">
        <v>576</v>
      </c>
      <c r="G40" s="2324" t="s">
        <v>577</v>
      </c>
      <c r="H40" s="2324" t="s">
        <v>444</v>
      </c>
      <c r="I40" s="2324" t="s">
        <v>576</v>
      </c>
      <c r="J40" s="2324" t="s">
        <v>577</v>
      </c>
      <c r="K40" s="2727"/>
    </row>
    <row r="41" spans="1:14" s="783" customFormat="1" ht="20.25" thickBot="1">
      <c r="A41" s="2719" t="s">
        <v>578</v>
      </c>
      <c r="B41" s="2328">
        <f>SUM(B42+B47+B60)</f>
        <v>1104</v>
      </c>
      <c r="C41" s="2338">
        <v>6000</v>
      </c>
      <c r="D41" s="2329">
        <f>(B41*C41)/1000</f>
        <v>6624</v>
      </c>
      <c r="E41" s="2328">
        <f>SUM(E64+E47)</f>
        <v>730</v>
      </c>
      <c r="F41" s="2728" t="s">
        <v>464</v>
      </c>
      <c r="G41" s="2728" t="s">
        <v>464</v>
      </c>
      <c r="H41" s="2753" t="s">
        <v>464</v>
      </c>
      <c r="I41" s="2728" t="s">
        <v>464</v>
      </c>
      <c r="J41" s="2754" t="s">
        <v>464</v>
      </c>
      <c r="K41" s="2729" t="s">
        <v>579</v>
      </c>
      <c r="N41" s="2730"/>
    </row>
    <row r="42" spans="1:14" s="783" customFormat="1" ht="19.5">
      <c r="A42" s="2731" t="s">
        <v>580</v>
      </c>
      <c r="B42" s="934">
        <f>SUM(B43:B45)</f>
        <v>467</v>
      </c>
      <c r="C42" s="2339">
        <v>6000</v>
      </c>
      <c r="D42" s="2755">
        <f>(B42*C42)/1000</f>
        <v>2802</v>
      </c>
      <c r="E42" s="1964" t="s">
        <v>464</v>
      </c>
      <c r="F42" s="1964" t="s">
        <v>464</v>
      </c>
      <c r="G42" s="1964" t="s">
        <v>464</v>
      </c>
      <c r="H42" s="2188" t="s">
        <v>464</v>
      </c>
      <c r="I42" s="1964" t="s">
        <v>464</v>
      </c>
      <c r="J42" s="1965" t="s">
        <v>464</v>
      </c>
      <c r="K42" s="2732" t="s">
        <v>581</v>
      </c>
      <c r="N42" s="2730"/>
    </row>
    <row r="43" spans="1:11" ht="18.75">
      <c r="A43" s="2733" t="s">
        <v>582</v>
      </c>
      <c r="B43" s="2231" t="s">
        <v>464</v>
      </c>
      <c r="C43" s="2332" t="s">
        <v>464</v>
      </c>
      <c r="D43" s="1963" t="s">
        <v>464</v>
      </c>
      <c r="E43" s="2332" t="s">
        <v>464</v>
      </c>
      <c r="F43" s="2332" t="s">
        <v>464</v>
      </c>
      <c r="G43" s="2332" t="s">
        <v>464</v>
      </c>
      <c r="H43" s="2231" t="s">
        <v>464</v>
      </c>
      <c r="I43" s="2332" t="s">
        <v>464</v>
      </c>
      <c r="J43" s="1963" t="s">
        <v>464</v>
      </c>
      <c r="K43" s="2735" t="s">
        <v>583</v>
      </c>
    </row>
    <row r="44" spans="1:11" ht="18.75">
      <c r="A44" s="2733" t="s">
        <v>584</v>
      </c>
      <c r="B44" s="864">
        <v>222</v>
      </c>
      <c r="C44" s="1796">
        <v>6000</v>
      </c>
      <c r="D44" s="940">
        <f>(B44*C44)/1000</f>
        <v>1332</v>
      </c>
      <c r="E44" s="2332" t="s">
        <v>464</v>
      </c>
      <c r="F44" s="2332" t="s">
        <v>464</v>
      </c>
      <c r="G44" s="2332" t="s">
        <v>464</v>
      </c>
      <c r="H44" s="2231" t="s">
        <v>464</v>
      </c>
      <c r="I44" s="2332" t="s">
        <v>464</v>
      </c>
      <c r="J44" s="1963" t="s">
        <v>464</v>
      </c>
      <c r="K44" s="2735" t="s">
        <v>584</v>
      </c>
    </row>
    <row r="45" spans="1:16" ht="18.75">
      <c r="A45" s="2733" t="s">
        <v>585</v>
      </c>
      <c r="B45" s="864">
        <v>245</v>
      </c>
      <c r="C45" s="1796">
        <v>6000</v>
      </c>
      <c r="D45" s="940">
        <f>(B45*C45)/1000</f>
        <v>1470</v>
      </c>
      <c r="E45" s="2332" t="s">
        <v>464</v>
      </c>
      <c r="F45" s="2332" t="s">
        <v>464</v>
      </c>
      <c r="G45" s="2332" t="s">
        <v>464</v>
      </c>
      <c r="H45" s="2231" t="s">
        <v>464</v>
      </c>
      <c r="I45" s="2332" t="s">
        <v>464</v>
      </c>
      <c r="J45" s="1963" t="s">
        <v>464</v>
      </c>
      <c r="K45" s="2735" t="s">
        <v>585</v>
      </c>
      <c r="P45" s="783"/>
    </row>
    <row r="46" spans="1:16" ht="18.75">
      <c r="A46" s="2733"/>
      <c r="B46" s="936"/>
      <c r="C46" s="172"/>
      <c r="D46" s="935"/>
      <c r="E46" s="941"/>
      <c r="F46" s="172"/>
      <c r="G46" s="935"/>
      <c r="H46" s="2231"/>
      <c r="I46" s="2332"/>
      <c r="J46" s="1963"/>
      <c r="K46" s="2735"/>
      <c r="P46" s="783"/>
    </row>
    <row r="47" spans="1:16" ht="19.5">
      <c r="A47" s="2736" t="s">
        <v>588</v>
      </c>
      <c r="B47" s="938">
        <f>SUM(B48:B52)</f>
        <v>300</v>
      </c>
      <c r="C47" s="939">
        <v>6000</v>
      </c>
      <c r="D47" s="943">
        <f>(B47*C47)/1000</f>
        <v>1800</v>
      </c>
      <c r="E47" s="2332">
        <f>SUM(E48:E52)</f>
        <v>700</v>
      </c>
      <c r="F47" s="2332" t="s">
        <v>464</v>
      </c>
      <c r="G47" s="2332" t="s">
        <v>464</v>
      </c>
      <c r="H47" s="2231" t="s">
        <v>464</v>
      </c>
      <c r="I47" s="2332" t="s">
        <v>464</v>
      </c>
      <c r="J47" s="1963" t="s">
        <v>464</v>
      </c>
      <c r="K47" s="2738" t="s">
        <v>589</v>
      </c>
      <c r="P47" s="783"/>
    </row>
    <row r="48" spans="1:16" ht="18.75">
      <c r="A48" s="2733" t="s">
        <v>590</v>
      </c>
      <c r="B48" s="936">
        <v>110</v>
      </c>
      <c r="C48" s="172">
        <v>6000</v>
      </c>
      <c r="D48" s="940">
        <f>(B48*C48)/1000</f>
        <v>660</v>
      </c>
      <c r="E48" s="2332" t="s">
        <v>464</v>
      </c>
      <c r="F48" s="2332" t="s">
        <v>464</v>
      </c>
      <c r="G48" s="2332" t="s">
        <v>464</v>
      </c>
      <c r="H48" s="2231" t="s">
        <v>464</v>
      </c>
      <c r="I48" s="2332" t="s">
        <v>464</v>
      </c>
      <c r="J48" s="1963" t="s">
        <v>464</v>
      </c>
      <c r="K48" s="2735" t="s">
        <v>591</v>
      </c>
      <c r="P48" s="783"/>
    </row>
    <row r="49" spans="1:14" s="783" customFormat="1" ht="18.75">
      <c r="A49" s="2733" t="s">
        <v>592</v>
      </c>
      <c r="B49" s="2231" t="s">
        <v>464</v>
      </c>
      <c r="C49" s="2332" t="s">
        <v>464</v>
      </c>
      <c r="D49" s="865" t="s">
        <v>464</v>
      </c>
      <c r="E49" s="2332" t="s">
        <v>464</v>
      </c>
      <c r="F49" s="2332" t="s">
        <v>464</v>
      </c>
      <c r="G49" s="2332" t="s">
        <v>464</v>
      </c>
      <c r="H49" s="2231" t="s">
        <v>464</v>
      </c>
      <c r="I49" s="2332" t="s">
        <v>464</v>
      </c>
      <c r="J49" s="1963" t="s">
        <v>464</v>
      </c>
      <c r="K49" s="2735" t="s">
        <v>593</v>
      </c>
      <c r="N49" s="2730"/>
    </row>
    <row r="50" spans="1:11" ht="18.75">
      <c r="A50" s="2733" t="s">
        <v>594</v>
      </c>
      <c r="B50" s="936">
        <v>190</v>
      </c>
      <c r="C50" s="172">
        <v>6000</v>
      </c>
      <c r="D50" s="940">
        <f>(B50*C50)/1000</f>
        <v>1140</v>
      </c>
      <c r="E50" s="941">
        <v>700</v>
      </c>
      <c r="F50" s="2332" t="s">
        <v>464</v>
      </c>
      <c r="G50" s="2332" t="s">
        <v>464</v>
      </c>
      <c r="H50" s="2231" t="s">
        <v>464</v>
      </c>
      <c r="I50" s="2332" t="s">
        <v>464</v>
      </c>
      <c r="J50" s="1963" t="s">
        <v>464</v>
      </c>
      <c r="K50" s="2735" t="s">
        <v>594</v>
      </c>
    </row>
    <row r="51" spans="1:11" ht="18.75">
      <c r="A51" s="2733" t="s">
        <v>599</v>
      </c>
      <c r="B51" s="2231" t="s">
        <v>464</v>
      </c>
      <c r="C51" s="2332" t="s">
        <v>464</v>
      </c>
      <c r="D51" s="1963" t="s">
        <v>464</v>
      </c>
      <c r="E51" s="2332" t="s">
        <v>464</v>
      </c>
      <c r="F51" s="2332" t="s">
        <v>464</v>
      </c>
      <c r="G51" s="2332" t="s">
        <v>464</v>
      </c>
      <c r="H51" s="2231" t="s">
        <v>464</v>
      </c>
      <c r="I51" s="2332" t="s">
        <v>464</v>
      </c>
      <c r="J51" s="1963" t="s">
        <v>464</v>
      </c>
      <c r="K51" s="2735" t="s">
        <v>599</v>
      </c>
    </row>
    <row r="52" spans="1:11" ht="18.75">
      <c r="A52" s="2733" t="s">
        <v>598</v>
      </c>
      <c r="B52" s="2231" t="s">
        <v>464</v>
      </c>
      <c r="C52" s="2332" t="s">
        <v>464</v>
      </c>
      <c r="D52" s="1963" t="s">
        <v>464</v>
      </c>
      <c r="E52" s="2332" t="s">
        <v>464</v>
      </c>
      <c r="F52" s="2332" t="s">
        <v>464</v>
      </c>
      <c r="G52" s="2332" t="s">
        <v>464</v>
      </c>
      <c r="H52" s="2231" t="s">
        <v>464</v>
      </c>
      <c r="I52" s="2332" t="s">
        <v>464</v>
      </c>
      <c r="J52" s="1963" t="s">
        <v>464</v>
      </c>
      <c r="K52" s="2735" t="s">
        <v>598</v>
      </c>
    </row>
    <row r="53" spans="1:11" ht="18.75">
      <c r="A53" s="2740"/>
      <c r="B53" s="936"/>
      <c r="C53" s="941"/>
      <c r="D53" s="940"/>
      <c r="E53" s="1913"/>
      <c r="F53" s="2756"/>
      <c r="G53" s="2757"/>
      <c r="H53" s="2231"/>
      <c r="I53" s="2332"/>
      <c r="J53" s="1963"/>
      <c r="K53" s="2735"/>
    </row>
    <row r="54" spans="1:11" ht="19.5">
      <c r="A54" s="2736" t="s">
        <v>601</v>
      </c>
      <c r="B54" s="2231" t="s">
        <v>464</v>
      </c>
      <c r="C54" s="2332" t="s">
        <v>464</v>
      </c>
      <c r="D54" s="1963" t="s">
        <v>464</v>
      </c>
      <c r="E54" s="2332" t="s">
        <v>464</v>
      </c>
      <c r="F54" s="2332" t="s">
        <v>464</v>
      </c>
      <c r="G54" s="2332" t="s">
        <v>464</v>
      </c>
      <c r="H54" s="2231" t="s">
        <v>464</v>
      </c>
      <c r="I54" s="2332" t="s">
        <v>464</v>
      </c>
      <c r="J54" s="1963" t="s">
        <v>464</v>
      </c>
      <c r="K54" s="2738" t="s">
        <v>602</v>
      </c>
    </row>
    <row r="55" spans="1:11" ht="18.75">
      <c r="A55" s="2733" t="s">
        <v>603</v>
      </c>
      <c r="B55" s="2231" t="s">
        <v>464</v>
      </c>
      <c r="C55" s="2332" t="s">
        <v>464</v>
      </c>
      <c r="D55" s="1963" t="s">
        <v>464</v>
      </c>
      <c r="E55" s="2332" t="s">
        <v>464</v>
      </c>
      <c r="F55" s="2332" t="s">
        <v>464</v>
      </c>
      <c r="G55" s="2332" t="s">
        <v>464</v>
      </c>
      <c r="H55" s="2231" t="s">
        <v>464</v>
      </c>
      <c r="I55" s="2332" t="s">
        <v>464</v>
      </c>
      <c r="J55" s="1963" t="s">
        <v>464</v>
      </c>
      <c r="K55" s="2735" t="s">
        <v>604</v>
      </c>
    </row>
    <row r="56" spans="1:11" ht="18.75">
      <c r="A56" s="2733" t="s">
        <v>605</v>
      </c>
      <c r="B56" s="2231" t="s">
        <v>464</v>
      </c>
      <c r="C56" s="2332" t="s">
        <v>464</v>
      </c>
      <c r="D56" s="1963" t="s">
        <v>464</v>
      </c>
      <c r="E56" s="2332" t="s">
        <v>464</v>
      </c>
      <c r="F56" s="2332" t="s">
        <v>464</v>
      </c>
      <c r="G56" s="2332" t="s">
        <v>464</v>
      </c>
      <c r="H56" s="2231" t="s">
        <v>464</v>
      </c>
      <c r="I56" s="2332" t="s">
        <v>464</v>
      </c>
      <c r="J56" s="1963" t="s">
        <v>464</v>
      </c>
      <c r="K56" s="2735" t="s">
        <v>606</v>
      </c>
    </row>
    <row r="57" spans="1:11" ht="18.75">
      <c r="A57" s="2733" t="s">
        <v>607</v>
      </c>
      <c r="B57" s="2231" t="s">
        <v>464</v>
      </c>
      <c r="C57" s="2332" t="s">
        <v>464</v>
      </c>
      <c r="D57" s="1963" t="s">
        <v>464</v>
      </c>
      <c r="E57" s="2332" t="s">
        <v>464</v>
      </c>
      <c r="F57" s="2332" t="s">
        <v>464</v>
      </c>
      <c r="G57" s="2332" t="s">
        <v>464</v>
      </c>
      <c r="H57" s="2231" t="s">
        <v>464</v>
      </c>
      <c r="I57" s="2332" t="s">
        <v>464</v>
      </c>
      <c r="J57" s="1963" t="s">
        <v>464</v>
      </c>
      <c r="K57" s="2735" t="s">
        <v>607</v>
      </c>
    </row>
    <row r="58" spans="1:11" ht="18.75">
      <c r="A58" s="2733" t="s">
        <v>608</v>
      </c>
      <c r="B58" s="2231" t="s">
        <v>464</v>
      </c>
      <c r="C58" s="2332" t="s">
        <v>464</v>
      </c>
      <c r="D58" s="1963" t="s">
        <v>464</v>
      </c>
      <c r="E58" s="2332" t="s">
        <v>464</v>
      </c>
      <c r="F58" s="2332" t="s">
        <v>464</v>
      </c>
      <c r="G58" s="2332" t="s">
        <v>464</v>
      </c>
      <c r="H58" s="2231" t="s">
        <v>464</v>
      </c>
      <c r="I58" s="2332" t="s">
        <v>464</v>
      </c>
      <c r="J58" s="1963" t="s">
        <v>464</v>
      </c>
      <c r="K58" s="2735" t="s">
        <v>608</v>
      </c>
    </row>
    <row r="59" spans="1:14" s="783" customFormat="1" ht="18.75">
      <c r="A59" s="2742"/>
      <c r="B59" s="938"/>
      <c r="C59" s="944"/>
      <c r="D59" s="943"/>
      <c r="E59" s="1947"/>
      <c r="F59" s="1947"/>
      <c r="G59" s="1948"/>
      <c r="H59" s="2231"/>
      <c r="I59" s="2332"/>
      <c r="J59" s="1963"/>
      <c r="K59" s="2744"/>
      <c r="N59" s="2730"/>
    </row>
    <row r="60" spans="1:11" ht="19.5">
      <c r="A60" s="2742" t="s">
        <v>1286</v>
      </c>
      <c r="B60" s="938">
        <f>SUM(B61:B62)</f>
        <v>337</v>
      </c>
      <c r="C60" s="939">
        <v>6000</v>
      </c>
      <c r="D60" s="943">
        <f>(B60*C60)/1000</f>
        <v>2022</v>
      </c>
      <c r="E60" s="2332" t="s">
        <v>464</v>
      </c>
      <c r="F60" s="2332" t="s">
        <v>464</v>
      </c>
      <c r="G60" s="2332" t="s">
        <v>464</v>
      </c>
      <c r="H60" s="2231" t="s">
        <v>464</v>
      </c>
      <c r="I60" s="2332" t="s">
        <v>464</v>
      </c>
      <c r="J60" s="1963" t="s">
        <v>464</v>
      </c>
      <c r="K60" s="2738" t="s">
        <v>1286</v>
      </c>
    </row>
    <row r="61" spans="1:11" ht="18.75">
      <c r="A61" s="2740" t="s">
        <v>586</v>
      </c>
      <c r="B61" s="936">
        <v>235</v>
      </c>
      <c r="C61" s="941">
        <v>6000</v>
      </c>
      <c r="D61" s="940">
        <f>(B61*C61)/1000</f>
        <v>1410</v>
      </c>
      <c r="E61" s="2332" t="s">
        <v>464</v>
      </c>
      <c r="F61" s="2332" t="s">
        <v>464</v>
      </c>
      <c r="G61" s="2332" t="s">
        <v>464</v>
      </c>
      <c r="H61" s="2231" t="s">
        <v>464</v>
      </c>
      <c r="I61" s="2332" t="s">
        <v>464</v>
      </c>
      <c r="J61" s="1963" t="s">
        <v>464</v>
      </c>
      <c r="K61" s="2735" t="s">
        <v>586</v>
      </c>
    </row>
    <row r="62" spans="1:11" ht="18.75">
      <c r="A62" s="2740" t="s">
        <v>587</v>
      </c>
      <c r="B62" s="936">
        <v>102</v>
      </c>
      <c r="C62" s="941">
        <v>6000</v>
      </c>
      <c r="D62" s="940">
        <f>(B62*C62)/1000</f>
        <v>612</v>
      </c>
      <c r="E62" s="2332" t="s">
        <v>464</v>
      </c>
      <c r="F62" s="2332" t="s">
        <v>464</v>
      </c>
      <c r="G62" s="2332" t="s">
        <v>464</v>
      </c>
      <c r="H62" s="2231" t="s">
        <v>464</v>
      </c>
      <c r="I62" s="2332" t="s">
        <v>464</v>
      </c>
      <c r="J62" s="1963" t="s">
        <v>464</v>
      </c>
      <c r="K62" s="2735" t="s">
        <v>587</v>
      </c>
    </row>
    <row r="63" spans="1:11" ht="18.75">
      <c r="A63" s="2740"/>
      <c r="B63" s="936"/>
      <c r="C63" s="941"/>
      <c r="D63" s="940"/>
      <c r="E63" s="1913"/>
      <c r="F63" s="2756"/>
      <c r="G63" s="2757"/>
      <c r="H63" s="2231"/>
      <c r="I63" s="2332"/>
      <c r="J63" s="1963"/>
      <c r="K63" s="2735"/>
    </row>
    <row r="64" spans="1:11" ht="19.5">
      <c r="A64" s="2742" t="s">
        <v>1287</v>
      </c>
      <c r="B64" s="2231" t="s">
        <v>464</v>
      </c>
      <c r="C64" s="2332" t="s">
        <v>464</v>
      </c>
      <c r="D64" s="1963" t="s">
        <v>464</v>
      </c>
      <c r="E64" s="2332">
        <f>SUM(E65:E67)</f>
        <v>30</v>
      </c>
      <c r="F64" s="2332" t="s">
        <v>464</v>
      </c>
      <c r="G64" s="2332" t="s">
        <v>464</v>
      </c>
      <c r="H64" s="2231" t="s">
        <v>464</v>
      </c>
      <c r="I64" s="2332" t="s">
        <v>464</v>
      </c>
      <c r="J64" s="1963" t="s">
        <v>464</v>
      </c>
      <c r="K64" s="2738" t="s">
        <v>1287</v>
      </c>
    </row>
    <row r="65" spans="1:11" ht="18.75">
      <c r="A65" s="2740" t="s">
        <v>1273</v>
      </c>
      <c r="B65" s="864" t="s">
        <v>464</v>
      </c>
      <c r="C65" s="1796" t="s">
        <v>464</v>
      </c>
      <c r="D65" s="865" t="s">
        <v>464</v>
      </c>
      <c r="E65" s="1796">
        <v>30</v>
      </c>
      <c r="F65" s="2332" t="s">
        <v>464</v>
      </c>
      <c r="G65" s="2332" t="s">
        <v>464</v>
      </c>
      <c r="H65" s="2231" t="s">
        <v>464</v>
      </c>
      <c r="I65" s="2332" t="s">
        <v>464</v>
      </c>
      <c r="J65" s="1963" t="s">
        <v>464</v>
      </c>
      <c r="K65" s="2735" t="s">
        <v>1273</v>
      </c>
    </row>
    <row r="66" spans="1:11" ht="18.75">
      <c r="A66" s="2740" t="s">
        <v>596</v>
      </c>
      <c r="B66" s="2231" t="s">
        <v>464</v>
      </c>
      <c r="C66" s="2332" t="s">
        <v>464</v>
      </c>
      <c r="D66" s="1963" t="s">
        <v>464</v>
      </c>
      <c r="E66" s="2332" t="s">
        <v>464</v>
      </c>
      <c r="F66" s="2332" t="s">
        <v>464</v>
      </c>
      <c r="G66" s="2332" t="s">
        <v>464</v>
      </c>
      <c r="H66" s="2231" t="s">
        <v>464</v>
      </c>
      <c r="I66" s="2332" t="s">
        <v>464</v>
      </c>
      <c r="J66" s="1963" t="s">
        <v>464</v>
      </c>
      <c r="K66" s="2735" t="s">
        <v>596</v>
      </c>
    </row>
    <row r="67" spans="1:11" ht="19.5" thickBot="1">
      <c r="A67" s="2745" t="s">
        <v>595</v>
      </c>
      <c r="B67" s="2758" t="s">
        <v>464</v>
      </c>
      <c r="C67" s="2747" t="s">
        <v>464</v>
      </c>
      <c r="D67" s="2748" t="s">
        <v>464</v>
      </c>
      <c r="E67" s="2747" t="s">
        <v>464</v>
      </c>
      <c r="F67" s="2747" t="s">
        <v>464</v>
      </c>
      <c r="G67" s="2747" t="s">
        <v>464</v>
      </c>
      <c r="H67" s="2758" t="s">
        <v>464</v>
      </c>
      <c r="I67" s="2747" t="s">
        <v>464</v>
      </c>
      <c r="J67" s="2748" t="s">
        <v>464</v>
      </c>
      <c r="K67" s="2749" t="s">
        <v>595</v>
      </c>
    </row>
  </sheetData>
  <sheetProtection/>
  <mergeCells count="5">
    <mergeCell ref="B3:D3"/>
    <mergeCell ref="E3:G3"/>
    <mergeCell ref="H3:J3"/>
    <mergeCell ref="B37:D37"/>
    <mergeCell ref="E37:G37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GİGABYTE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</dc:creator>
  <cp:keywords/>
  <dc:description/>
  <cp:lastModifiedBy>user</cp:lastModifiedBy>
  <cp:lastPrinted>2010-08-04T09:08:06Z</cp:lastPrinted>
  <dcterms:created xsi:type="dcterms:W3CDTF">2003-10-31T12:49:10Z</dcterms:created>
  <dcterms:modified xsi:type="dcterms:W3CDTF">2011-01-12T12:25:01Z</dcterms:modified>
  <cp:category/>
  <cp:version/>
  <cp:contentType/>
  <cp:contentStatus/>
</cp:coreProperties>
</file>